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mpcltd-my.sharepoint.com/personal/c_morris_ampc_com_au/Documents/Desktop/"/>
    </mc:Choice>
  </mc:AlternateContent>
  <xr:revisionPtr revIDLastSave="0" documentId="8_{88BD06A3-C6E5-436D-AFE7-468356DC612C}" xr6:coauthVersionLast="47" xr6:coauthVersionMax="47" xr10:uidLastSave="{00000000-0000-0000-0000-000000000000}"/>
  <bookViews>
    <workbookView xWindow="-110" yWindow="-110" windowWidth="22780" windowHeight="14660" xr2:uid="{C35A2A6F-B4A1-4FB8-BC48-C0E460EA6243}"/>
  </bookViews>
  <sheets>
    <sheet name="Aggregated W2E Tool" sheetId="1" r:id="rId1"/>
    <sheet name="Cos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4" i="1" l="1"/>
  <c r="C87" i="1" s="1"/>
  <c r="C90" i="1"/>
  <c r="I98" i="1" l="1"/>
  <c r="C94" i="1"/>
  <c r="C93" i="1"/>
  <c r="C92" i="1"/>
  <c r="C118" i="1" s="1"/>
  <c r="C91" i="1"/>
  <c r="C124" i="1" l="1"/>
  <c r="C125" i="1" s="1"/>
  <c r="C89" i="1"/>
  <c r="C88" i="1"/>
  <c r="C112" i="1" s="1"/>
  <c r="C141" i="1" s="1"/>
  <c r="H87" i="1"/>
  <c r="L22" i="1"/>
  <c r="C21" i="1" s="1"/>
  <c r="C22" i="1" s="1"/>
  <c r="H98" i="1"/>
  <c r="C28" i="1" l="1"/>
  <c r="C23" i="1"/>
  <c r="H94" i="1"/>
  <c r="I93" i="1"/>
  <c r="I92" i="1"/>
  <c r="H91" i="1"/>
  <c r="H90" i="1"/>
  <c r="C119" i="1" l="1"/>
  <c r="C31" i="1"/>
  <c r="C29" i="1"/>
  <c r="C120" i="1" l="1"/>
  <c r="D141" i="1" s="1"/>
  <c r="C126" i="1"/>
  <c r="E143" i="1" s="1"/>
  <c r="H89" i="1"/>
  <c r="H88" i="1"/>
  <c r="J10" i="1"/>
  <c r="F48" i="1"/>
  <c r="C39" i="1"/>
  <c r="E42" i="1"/>
  <c r="F42" i="1"/>
  <c r="J42" i="1"/>
  <c r="B37" i="1"/>
  <c r="B32" i="1"/>
  <c r="E27" i="1"/>
  <c r="E44" i="1" s="1"/>
  <c r="E50" i="1" s="1"/>
  <c r="L21" i="1"/>
  <c r="F7" i="1"/>
  <c r="E7" i="1"/>
  <c r="F22" i="1"/>
  <c r="H22" i="1"/>
  <c r="I22" i="1"/>
  <c r="J22" i="1"/>
  <c r="E29" i="1"/>
  <c r="E22" i="1" s="1"/>
  <c r="C113" i="1" l="1"/>
  <c r="C114" i="1" s="1"/>
  <c r="C115" i="1" s="1"/>
  <c r="C143" i="1" s="1"/>
  <c r="E141" i="1"/>
  <c r="E145" i="1" s="1"/>
  <c r="C121" i="1"/>
  <c r="E28" i="1"/>
  <c r="E45" i="1" s="1"/>
  <c r="C33" i="1"/>
  <c r="C26" i="1"/>
  <c r="K26" i="1" s="1"/>
  <c r="I35" i="1"/>
  <c r="J35" i="1"/>
  <c r="F35" i="1"/>
  <c r="E35" i="1"/>
  <c r="E33" i="1" s="1"/>
  <c r="C38" i="1"/>
  <c r="M23" i="1"/>
  <c r="B22" i="1"/>
  <c r="N3" i="1"/>
  <c r="D143" i="1" l="1"/>
  <c r="D145" i="1" s="1"/>
  <c r="C44" i="1"/>
  <c r="C34" i="1"/>
  <c r="C45" i="1" s="1"/>
  <c r="C41" i="1"/>
  <c r="E41" i="1" s="1"/>
  <c r="C43" i="1"/>
  <c r="C24" i="1"/>
  <c r="C25" i="1" s="1"/>
  <c r="C145" i="1" l="1"/>
  <c r="I123" i="1"/>
  <c r="C30" i="1"/>
  <c r="M40" i="1"/>
  <c r="C32" i="1"/>
  <c r="C37" i="1"/>
  <c r="D37" i="1" s="1"/>
  <c r="D34" i="1"/>
  <c r="C35" i="1"/>
  <c r="C42" i="1" s="1"/>
  <c r="K45" i="1" s="1"/>
  <c r="K28" i="1" l="1"/>
  <c r="K43" i="1"/>
  <c r="K21" i="1"/>
  <c r="K44" i="1"/>
  <c r="K33" i="1"/>
  <c r="C36" i="1"/>
  <c r="H11" i="1" l="1"/>
  <c r="H9" i="1"/>
  <c r="H8" i="1"/>
  <c r="H7" i="1"/>
  <c r="C11" i="1"/>
  <c r="C10" i="1"/>
  <c r="C15" i="1" l="1"/>
  <c r="C14" i="1"/>
  <c r="C27" i="1" s="1"/>
  <c r="K27" i="1" s="1"/>
  <c r="C13" i="1"/>
  <c r="C12" i="1"/>
  <c r="C5" i="1"/>
  <c r="C7" i="1" s="1"/>
  <c r="O20" i="1"/>
  <c r="C50" i="1" l="1"/>
  <c r="C18" i="1"/>
  <c r="D32" i="1"/>
  <c r="J18" i="1" l="1"/>
  <c r="D39" i="1"/>
  <c r="D21" i="1" l="1"/>
  <c r="E15" i="1"/>
  <c r="E18" i="1" s="1"/>
  <c r="F15" i="1"/>
  <c r="H23" i="1"/>
  <c r="H35" i="1" s="1"/>
  <c r="D29" i="1"/>
  <c r="D22" i="1" s="1"/>
  <c r="D40" i="1"/>
  <c r="D13" i="1"/>
  <c r="D10" i="1"/>
  <c r="D12" i="1"/>
  <c r="D14" i="1"/>
  <c r="AI3" i="1"/>
  <c r="AI2" i="1" s="1"/>
  <c r="AI1" i="1"/>
  <c r="F18" i="1" l="1"/>
  <c r="D23" i="1"/>
  <c r="D35" i="1"/>
  <c r="D15" i="1"/>
  <c r="D41" i="1" l="1"/>
  <c r="D42" i="1" s="1"/>
  <c r="B73" i="1"/>
  <c r="B74" i="1"/>
  <c r="B71" i="1"/>
  <c r="B72" i="1"/>
  <c r="B70" i="1"/>
  <c r="C9" i="1" l="1"/>
  <c r="D7" i="1"/>
  <c r="C8" i="1"/>
  <c r="V6" i="1"/>
  <c r="V7" i="1"/>
  <c r="B42" i="2"/>
  <c r="C5" i="2"/>
  <c r="C6" i="2" s="1"/>
  <c r="C7" i="2" s="1"/>
  <c r="D9" i="1" l="1"/>
  <c r="C17" i="1"/>
  <c r="C49" i="1"/>
  <c r="D8" i="1"/>
  <c r="C16" i="1"/>
  <c r="U9" i="1"/>
  <c r="V9" i="1" s="1"/>
  <c r="W9" i="1" s="1"/>
  <c r="C48" i="1" l="1"/>
  <c r="C46" i="1"/>
  <c r="C47" i="1" s="1"/>
  <c r="E11" i="1"/>
  <c r="E17" i="1" s="1"/>
  <c r="F11" i="1"/>
  <c r="I11" i="1"/>
  <c r="J11" i="1"/>
  <c r="J16" i="1" s="1"/>
  <c r="C51" i="1" l="1"/>
  <c r="E16" i="1"/>
  <c r="F16" i="1" s="1"/>
  <c r="J17" i="1"/>
  <c r="J48" i="1"/>
  <c r="F17" i="1"/>
  <c r="E48" i="1"/>
  <c r="J49" i="1"/>
  <c r="J50" i="1"/>
  <c r="C56" i="1"/>
  <c r="C58" i="1"/>
  <c r="C59" i="1"/>
  <c r="C57" i="1"/>
  <c r="D11" i="1"/>
  <c r="E46" i="1" l="1"/>
  <c r="E47" i="1"/>
  <c r="D17" i="1"/>
  <c r="D16" i="1"/>
  <c r="D46" i="1" s="1"/>
  <c r="D47" i="1" s="1"/>
  <c r="H59" i="1"/>
  <c r="E59" i="1"/>
  <c r="F59" i="1" s="1"/>
  <c r="H57" i="1"/>
  <c r="E57" i="1"/>
  <c r="F57" i="1" s="1"/>
  <c r="E58" i="1"/>
  <c r="F58" i="1" s="1"/>
  <c r="H58" i="1"/>
  <c r="E56" i="1"/>
  <c r="F56" i="1" s="1"/>
  <c r="H56" i="1"/>
  <c r="C55" i="1" l="1"/>
  <c r="E55" i="1" s="1"/>
  <c r="F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 Forde</author>
  </authors>
  <commentList>
    <comment ref="J8" authorId="0" shapeId="0" xr:uid="{96B0F7A3-D6AB-4644-8597-C1EA7D8C23F8}">
      <text>
        <r>
          <rPr>
            <b/>
            <sz val="9"/>
            <color indexed="81"/>
            <rFont val="Tahoma"/>
            <family val="2"/>
          </rPr>
          <t>Gareth Forde:</t>
        </r>
        <r>
          <rPr>
            <sz val="9"/>
            <color indexed="81"/>
            <rFont val="Tahoma"/>
            <family val="2"/>
          </rPr>
          <t xml:space="preserve">
https://www.researchgate.net/publication/314154088_Assessing_the_Energy_Values_of_Sewage_Sludge_from_Pagla_Sewage_Treatment_Plant</t>
        </r>
      </text>
    </comment>
    <comment ref="J12" authorId="0" shapeId="0" xr:uid="{2699DEB1-198D-4C83-B703-1FA86B320F17}">
      <text>
        <r>
          <rPr>
            <b/>
            <sz val="9"/>
            <color indexed="81"/>
            <rFont val="Tahoma"/>
            <family val="2"/>
          </rPr>
          <t>Gareth Forde:</t>
        </r>
        <r>
          <rPr>
            <sz val="9"/>
            <color indexed="81"/>
            <rFont val="Tahoma"/>
            <family val="2"/>
          </rPr>
          <t xml:space="preserve">
Demetra A. Tsiamis and Marco J. Castaldi Earth Engineering Center | City College City University of New York 
March 23. 2016</t>
        </r>
      </text>
    </comment>
    <comment ref="J13" authorId="0" shapeId="0" xr:uid="{EFE3B2FA-F468-486C-93D9-E15955580BA0}">
      <text>
        <r>
          <rPr>
            <b/>
            <sz val="9"/>
            <color indexed="81"/>
            <rFont val="Tahoma"/>
            <family val="2"/>
          </rPr>
          <t>Gareth Forde:
Solid Waste Composition and Quantities
Marc J. Rogoff PhD, Francois Screve Meng, MBA, in Waste-To-energy (Third Edition), 2019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 shapeId="0" xr:uid="{F11748AF-E36D-4019-864C-EDBA065413BB}">
      <text>
        <r>
          <rPr>
            <b/>
            <sz val="9"/>
            <color indexed="81"/>
            <rFont val="Tahoma"/>
            <family val="2"/>
          </rPr>
          <t>Gareth Forde:</t>
        </r>
        <r>
          <rPr>
            <sz val="9"/>
            <color indexed="81"/>
            <rFont val="Tahoma"/>
            <family val="2"/>
          </rPr>
          <t xml:space="preserve">
Gareth Forde:
Solid Waste Composition and Quantities
Marc J. Rogoff PhD, Francois Screve Meng, MBA, in Waste-To-energy (Thi</t>
        </r>
      </text>
    </comment>
    <comment ref="J15" authorId="0" shapeId="0" xr:uid="{1CE9D960-B2D6-48DB-8CD1-E0F56CA8CF5C}">
      <text>
        <r>
          <rPr>
            <b/>
            <sz val="9"/>
            <color indexed="81"/>
            <rFont val="Tahoma"/>
            <family val="2"/>
          </rPr>
          <t>Gareth Forde:</t>
        </r>
        <r>
          <rPr>
            <sz val="9"/>
            <color indexed="81"/>
            <rFont val="Tahoma"/>
            <family val="2"/>
          </rPr>
          <t xml:space="preserve">
Gareth Forde:
Solid Waste Composition and Quantities
Marc J. Rogoff PhD, Francois Screve Meng, MBA, in Waste-To-energy (Thi</t>
        </r>
      </text>
    </comment>
    <comment ref="C39" authorId="0" shapeId="0" xr:uid="{E57B6BCF-DC35-499C-B84C-8492678D9E69}">
      <text>
        <r>
          <rPr>
            <b/>
            <sz val="9"/>
            <color indexed="81"/>
            <rFont val="Tahoma"/>
            <family val="2"/>
          </rPr>
          <t>Gareth Forde:</t>
        </r>
        <r>
          <rPr>
            <sz val="9"/>
            <color indexed="81"/>
            <rFont val="Tahoma"/>
            <family val="2"/>
          </rPr>
          <t xml:space="preserve">
FACT SHEET
Market summary – end-of-life tyres; 2013–14 Sustainability Victoria </t>
        </r>
      </text>
    </comment>
    <comment ref="J39" authorId="0" shapeId="0" xr:uid="{CBE22E51-08CB-41AE-8B40-94D118687B9F}">
      <text>
        <r>
          <rPr>
            <b/>
            <sz val="9"/>
            <color indexed="81"/>
            <rFont val="Tahoma"/>
            <family val="2"/>
          </rPr>
          <t>Gareth Forde:</t>
        </r>
        <r>
          <rPr>
            <sz val="9"/>
            <color indexed="81"/>
            <rFont val="Tahoma"/>
            <family val="2"/>
          </rPr>
          <t xml:space="preserve">
Solid Waste Composition and Quantities
Marc J. Rogoff PhD, Francois Screve Meng, MBA, in Waste-To-energy (Third Edition), 2019</t>
        </r>
      </text>
    </comment>
  </commentList>
</comments>
</file>

<file path=xl/sharedStrings.xml><?xml version="1.0" encoding="utf-8"?>
<sst xmlns="http://schemas.openxmlformats.org/spreadsheetml/2006/main" count="224" uniqueCount="176">
  <si>
    <t>Waste streams at RMP</t>
  </si>
  <si>
    <t>Paunch</t>
  </si>
  <si>
    <t>Aerobic Sludge</t>
  </si>
  <si>
    <t>DAF Sludge</t>
  </si>
  <si>
    <t>Red stream screenings</t>
  </si>
  <si>
    <t>Green stream screenings</t>
  </si>
  <si>
    <t>Surrounding Waste Streams</t>
  </si>
  <si>
    <t>Segregated Wood</t>
  </si>
  <si>
    <t>Solids %</t>
  </si>
  <si>
    <t>Volatile Solids %</t>
  </si>
  <si>
    <t>BMP [m3 CH4/kg VS]</t>
  </si>
  <si>
    <t>Density [kg/m3]</t>
  </si>
  <si>
    <t>BMP [m3 CH4/t VS]</t>
  </si>
  <si>
    <t>Grease Trap Waste</t>
  </si>
  <si>
    <t>Input your RMPF's production of the following wastes</t>
  </si>
  <si>
    <t>tHSCW/week</t>
  </si>
  <si>
    <t>tpw</t>
  </si>
  <si>
    <t>Reference</t>
  </si>
  <si>
    <t>2019-1020 Analysis of State Based Processing Costs</t>
  </si>
  <si>
    <t>Value</t>
  </si>
  <si>
    <t>Unit</t>
  </si>
  <si>
    <t>Description</t>
  </si>
  <si>
    <t>hpd</t>
  </si>
  <si>
    <t>Average number of head per day</t>
  </si>
  <si>
    <t>tHSCW/head</t>
  </si>
  <si>
    <t>$/head</t>
  </si>
  <si>
    <t>electricity cost</t>
  </si>
  <si>
    <t>other fuel</t>
  </si>
  <si>
    <t>water and sewerage</t>
  </si>
  <si>
    <t>waste disposal</t>
  </si>
  <si>
    <t>AMPC Industry Environmental Sustainability Review 2010</t>
  </si>
  <si>
    <t>t/tHSCW</t>
  </si>
  <si>
    <t>packaging waste</t>
  </si>
  <si>
    <t>AMPC Waste Solids Environmental Best Practice Manual 2003</t>
  </si>
  <si>
    <t>cardboard</t>
  </si>
  <si>
    <t>plastic</t>
  </si>
  <si>
    <t>vacuum bag</t>
  </si>
  <si>
    <t>strapping</t>
  </si>
  <si>
    <t>days pa</t>
  </si>
  <si>
    <t>tpa</t>
  </si>
  <si>
    <t>2327 tHSCW/week</t>
  </si>
  <si>
    <t>P.PSH.0867 Background numbers</t>
  </si>
  <si>
    <t>ratio</t>
  </si>
  <si>
    <t>paunch</t>
  </si>
  <si>
    <t>tpw/tHSCW</t>
  </si>
  <si>
    <t>LHV [GJ/t]</t>
  </si>
  <si>
    <t>BMP m3 CH4/week</t>
  </si>
  <si>
    <t xml:space="preserve">Total </t>
  </si>
  <si>
    <t>W2E Options</t>
  </si>
  <si>
    <t>1. Anaerobic Digestion</t>
  </si>
  <si>
    <t>Available Energy</t>
  </si>
  <si>
    <t>MWe</t>
  </si>
  <si>
    <t>MWt</t>
  </si>
  <si>
    <t>Input available surrounding waste streams</t>
  </si>
  <si>
    <t>Waste Aerobic Sludge (WAS)</t>
  </si>
  <si>
    <t>Green Wastes (Grass Clippings etc)</t>
  </si>
  <si>
    <t>Fresh Manure Scrapings</t>
  </si>
  <si>
    <t>Volatile Solids VS/TS%</t>
  </si>
  <si>
    <t>PER PLANT</t>
  </si>
  <si>
    <t>kL per day</t>
  </si>
  <si>
    <t>A</t>
  </si>
  <si>
    <t>Prelim</t>
  </si>
  <si>
    <t>GMF</t>
  </si>
  <si>
    <t>MCB</t>
  </si>
  <si>
    <t>tph cooling water</t>
  </si>
  <si>
    <t>Rev</t>
  </si>
  <si>
    <t>REVISION DETAILS</t>
  </si>
  <si>
    <t>DATE</t>
  </si>
  <si>
    <t>DESIGNED</t>
  </si>
  <si>
    <t>CHECKED</t>
  </si>
  <si>
    <t>tpd cooling water</t>
  </si>
  <si>
    <t>Tonnes per week</t>
  </si>
  <si>
    <t>SUB-TOTAL</t>
  </si>
  <si>
    <t>GJ/week</t>
  </si>
  <si>
    <t>Ash tpw</t>
  </si>
  <si>
    <t>Aggregated Waste to Energy (W2E) Calculator</t>
  </si>
  <si>
    <t>FOGO (Food Organics / Green Organics)</t>
  </si>
  <si>
    <t>Inerts</t>
  </si>
  <si>
    <t>Population</t>
  </si>
  <si>
    <t>Head per week</t>
  </si>
  <si>
    <t xml:space="preserve"> </t>
  </si>
  <si>
    <t xml:space="preserve"> tHSCW</t>
  </si>
  <si>
    <t xml:space="preserve">Note 1 head = </t>
  </si>
  <si>
    <t>Packaging waste - Cryovac / multi-layered plastics</t>
  </si>
  <si>
    <t>Packaging waste - contaminated cardboard, paper and other plastics</t>
  </si>
  <si>
    <t>Wood wastes (creates, workshop, demolition)</t>
  </si>
  <si>
    <t>Kitchen / Cafeteria organics</t>
  </si>
  <si>
    <t>AMPC Aggregated Waste to Energy (W2E) Tool</t>
  </si>
  <si>
    <t>Input Plant Information</t>
  </si>
  <si>
    <t>Aerobic Wastewater Sludge / Waste Activated Sludge</t>
  </si>
  <si>
    <t>Green Stream Screenings</t>
  </si>
  <si>
    <t>Red Stream Screenings</t>
  </si>
  <si>
    <t>Plastic Packaging</t>
  </si>
  <si>
    <t>Cardboard Packaging</t>
  </si>
  <si>
    <t>Kitchen / Cafeteria Waste</t>
  </si>
  <si>
    <t>Approximate Production of Non-Recyclable Wastes [tpw]</t>
  </si>
  <si>
    <t>Local council population</t>
  </si>
  <si>
    <t>Surrounding Available Wastes</t>
  </si>
  <si>
    <t>Used Tyre Crumb [tpw]</t>
  </si>
  <si>
    <t xml:space="preserve">Segregated Wood </t>
  </si>
  <si>
    <t>Refuse Derived Fuel</t>
  </si>
  <si>
    <t>Construction &amp; Demolition (C&amp;D) Waste [tpw]</t>
  </si>
  <si>
    <t>Grease Trap Waste [tpw]</t>
  </si>
  <si>
    <t>GJ pw</t>
  </si>
  <si>
    <t>Cost Data</t>
  </si>
  <si>
    <t>Power Demand Price [$/kVA/day or $/kW/day]</t>
  </si>
  <si>
    <t>Thermal Fuel Price [$/GJ]</t>
  </si>
  <si>
    <t>Cost Benefit Analysis</t>
  </si>
  <si>
    <t>W2E Option</t>
  </si>
  <si>
    <t>AD</t>
  </si>
  <si>
    <t>Capital Cost</t>
  </si>
  <si>
    <t>Simple Payback</t>
  </si>
  <si>
    <t>P.PIP.0547</t>
  </si>
  <si>
    <t>SOURCE:</t>
  </si>
  <si>
    <t xml:space="preserve">Average Processing Rate in Head Per Week </t>
  </si>
  <si>
    <t>Average Processing Rate [tHSCW pw]</t>
  </si>
  <si>
    <t>NGER DETERMINATION</t>
  </si>
  <si>
    <t>CHECK:</t>
  </si>
  <si>
    <t>tonnes pp pa</t>
  </si>
  <si>
    <t>All organics</t>
  </si>
  <si>
    <t>Check:</t>
  </si>
  <si>
    <t>Metals</t>
  </si>
  <si>
    <t>%</t>
  </si>
  <si>
    <t>to landfill</t>
  </si>
  <si>
    <t>Refuse Derived Fuel [All Organics + Paper + Cardboard + Plastics]</t>
  </si>
  <si>
    <t>2. Gasification - All organics and plastic</t>
  </si>
  <si>
    <t>Refuse Derived Fuel excluding FOGO [Textiles + Nappies + Rubber/leather + Paper + Cardboard + Plastics]</t>
  </si>
  <si>
    <t>Thermo efficiency:</t>
  </si>
  <si>
    <t>4. Combustion  - All organics and plastic</t>
  </si>
  <si>
    <t>Power cycle efficiency</t>
  </si>
  <si>
    <t xml:space="preserve">MWt </t>
  </si>
  <si>
    <t>Waste heat recovery</t>
  </si>
  <si>
    <t>Power generation</t>
  </si>
  <si>
    <t>Thermal only</t>
  </si>
  <si>
    <t>P.PIP.0739</t>
  </si>
  <si>
    <t>Segregated Wood [dry]</t>
  </si>
  <si>
    <t>HHV dry</t>
  </si>
  <si>
    <t>National Waste Report 2018, 19 NOVEMBER 2018, PREPARED FOR Department of the Environment and Energy</t>
  </si>
  <si>
    <t>MSW tonnes per week per person</t>
  </si>
  <si>
    <t>MSW landfill tonnes per person</t>
  </si>
  <si>
    <t>Municipal Solid Waste - After recycling</t>
  </si>
  <si>
    <t>Construction &amp; Demolition - After recycling</t>
  </si>
  <si>
    <t>Commercial and Industrial - after recycling</t>
  </si>
  <si>
    <t>Refuse Derived Fuel [All organics]</t>
  </si>
  <si>
    <t>Inerts i.e. polymer, bricks, masonry, etc.</t>
  </si>
  <si>
    <t>3. Gasification - RDF excluding FOGO</t>
  </si>
  <si>
    <t>5. Combustion - RDF excluding FOGO</t>
  </si>
  <si>
    <t>Gasification of RDF [excludes FOGO and RMP organics]</t>
  </si>
  <si>
    <t>Anaerobic Digestion (AD) of FOGO and RMP organics</t>
  </si>
  <si>
    <t>Throughput at RMP</t>
  </si>
  <si>
    <t>SUB-TOTAL Surrounding Waste Streams</t>
  </si>
  <si>
    <t>TOTAL Waste: Tonnes per week</t>
  </si>
  <si>
    <t>TOTAL Waste: Tonnes per annum</t>
  </si>
  <si>
    <t>TOTAL RDF: Tonnes per annum RDF [incl. all Organics]</t>
  </si>
  <si>
    <t>TOTAL RDF: Tonnes per annum RDF [excl. FOGO and RMP organics]</t>
  </si>
  <si>
    <t>SUB-TOTAL - Suitable for anaerobic digestion</t>
  </si>
  <si>
    <t>SUB-TOTAL - Suitable for Refuse Derived Fuel (RDF)</t>
  </si>
  <si>
    <t>SUB-TOTAL - Suitable for anaerobic digestion [FOGO]</t>
  </si>
  <si>
    <t>SUB-TOTAL - RDF [All Organics + Paper + Cardboard + Plastics]</t>
  </si>
  <si>
    <t>SUB-TOTAL - RDF excluding FOGO [Textiles + Nappies + Rubber/leather + Paper + Cardboard + Plastics]</t>
  </si>
  <si>
    <t>TOTAL Suitable for Anaerobic Digestion  Tonnes per annum</t>
  </si>
  <si>
    <t>TOTAL not suitable for W2E Tonnes per annum</t>
  </si>
  <si>
    <t>Used tyre crumb [not considered RDF]</t>
  </si>
  <si>
    <t>Note: dilute to 10% solids</t>
  </si>
  <si>
    <t>GJt/week</t>
  </si>
  <si>
    <t xml:space="preserve">SUB-TOTAL - Wood for combustion </t>
  </si>
  <si>
    <t>Wood pp pw</t>
  </si>
  <si>
    <t>© All Energy Pty Ltd, 2020</t>
  </si>
  <si>
    <t>tpw gasified</t>
  </si>
  <si>
    <t>tpw digested</t>
  </si>
  <si>
    <t>tpw burned</t>
  </si>
  <si>
    <t>Combustion of Paunch and Wood in 1:1 ratio</t>
  </si>
  <si>
    <t>Paunch Combustion</t>
  </si>
  <si>
    <t xml:space="preserve">Power Volume Price [$/kWh] </t>
  </si>
  <si>
    <t>Gasification</t>
  </si>
  <si>
    <t>Revenue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</si>
</sst>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_-* #,##0.0_-;\-* #,##0.0_-;_-* &quot;-&quot;??_-;_-@_-"/>
    <numFmt numFmtId="168" formatCode="_-* #,##0.00000_-;\-* #,##0.00000_-;_-* &quot;-&quot;??_-;_-@_-"/>
    <numFmt numFmtId="169" formatCode="&quot;$&quot;#,##0.00"/>
    <numFmt numFmtId="170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Nova"/>
      <family val="2"/>
    </font>
    <font>
      <sz val="8"/>
      <color theme="1"/>
      <name val="Arial Nova"/>
      <family val="2"/>
    </font>
    <font>
      <sz val="14"/>
      <color theme="1"/>
      <name val="Arial Nova"/>
      <family val="2"/>
    </font>
    <font>
      <b/>
      <sz val="8"/>
      <name val="Arial Nova"/>
      <family val="2"/>
    </font>
    <font>
      <sz val="8"/>
      <name val="Arial Nova"/>
      <family val="2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C00000"/>
      <name val="Arial Nova"/>
      <family val="2"/>
    </font>
    <font>
      <b/>
      <sz val="14"/>
      <color rgb="FFC00000"/>
      <name val="Arial Nova"/>
      <family val="2"/>
    </font>
    <font>
      <sz val="11"/>
      <name val="Arial Nova"/>
      <family val="2"/>
    </font>
    <font>
      <b/>
      <sz val="12"/>
      <name val="Arial Nova"/>
      <family val="2"/>
    </font>
    <font>
      <sz val="10"/>
      <color theme="1"/>
      <name val="Arial Nova"/>
      <family val="2"/>
    </font>
    <font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2"/>
      <color theme="5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name val="Arial Nov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C00000"/>
      <name val="Arial Nova"/>
      <family val="2"/>
    </font>
    <font>
      <sz val="12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42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8">
    <xf numFmtId="0" fontId="0" fillId="0" borderId="0" xfId="0"/>
    <xf numFmtId="10" fontId="0" fillId="0" borderId="0" xfId="0" applyNumberFormat="1"/>
    <xf numFmtId="0" fontId="4" fillId="3" borderId="0" xfId="0" applyFont="1" applyFill="1"/>
    <xf numFmtId="0" fontId="4" fillId="3" borderId="4" xfId="0" applyFont="1" applyFill="1" applyBorder="1"/>
    <xf numFmtId="0" fontId="0" fillId="0" borderId="0" xfId="0" applyAlignment="1">
      <alignment wrapText="1"/>
    </xf>
    <xf numFmtId="164" fontId="4" fillId="3" borderId="4" xfId="1" applyNumberFormat="1" applyFont="1" applyFill="1" applyBorder="1"/>
    <xf numFmtId="1" fontId="4" fillId="3" borderId="4" xfId="0" applyNumberFormat="1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/>
    </xf>
    <xf numFmtId="164" fontId="4" fillId="3" borderId="4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9" fontId="4" fillId="2" borderId="5" xfId="2" applyFont="1" applyFill="1" applyBorder="1" applyAlignment="1">
      <alignment horizontal="right"/>
    </xf>
    <xf numFmtId="10" fontId="4" fillId="2" borderId="5" xfId="0" applyNumberFormat="1" applyFont="1" applyFill="1" applyBorder="1" applyAlignment="1">
      <alignment horizontal="right"/>
    </xf>
    <xf numFmtId="164" fontId="3" fillId="6" borderId="0" xfId="1" applyNumberFormat="1" applyFont="1" applyFill="1" applyBorder="1" applyAlignment="1">
      <alignment horizontal="right"/>
    </xf>
    <xf numFmtId="0" fontId="4" fillId="7" borderId="5" xfId="0" applyFont="1" applyFill="1" applyBorder="1"/>
    <xf numFmtId="164" fontId="4" fillId="7" borderId="5" xfId="1" applyNumberFormat="1" applyFont="1" applyFill="1" applyBorder="1" applyAlignment="1">
      <alignment horizontal="right"/>
    </xf>
    <xf numFmtId="9" fontId="4" fillId="7" borderId="5" xfId="0" applyNumberFormat="1" applyFont="1" applyFill="1" applyBorder="1" applyAlignment="1">
      <alignment horizontal="right"/>
    </xf>
    <xf numFmtId="10" fontId="4" fillId="7" borderId="5" xfId="0" applyNumberFormat="1" applyFont="1" applyFill="1" applyBorder="1" applyAlignment="1">
      <alignment horizontal="right"/>
    </xf>
    <xf numFmtId="9" fontId="4" fillId="7" borderId="5" xfId="2" applyFont="1" applyFill="1" applyBorder="1" applyAlignment="1">
      <alignment horizontal="right"/>
    </xf>
    <xf numFmtId="164" fontId="4" fillId="4" borderId="5" xfId="1" applyNumberFormat="1" applyFont="1" applyFill="1" applyBorder="1" applyAlignment="1">
      <alignment horizontal="right"/>
    </xf>
    <xf numFmtId="9" fontId="4" fillId="4" borderId="5" xfId="0" applyNumberFormat="1" applyFont="1" applyFill="1" applyBorder="1" applyAlignment="1">
      <alignment horizontal="right"/>
    </xf>
    <xf numFmtId="10" fontId="4" fillId="4" borderId="5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right" vertical="center" wrapText="1"/>
    </xf>
    <xf numFmtId="164" fontId="11" fillId="5" borderId="1" xfId="1" applyNumberFormat="1" applyFont="1" applyFill="1" applyBorder="1" applyAlignment="1">
      <alignment horizontal="center"/>
    </xf>
    <xf numFmtId="1" fontId="10" fillId="7" borderId="4" xfId="0" applyNumberFormat="1" applyFont="1" applyFill="1" applyBorder="1" applyAlignment="1">
      <alignment horizontal="right"/>
    </xf>
    <xf numFmtId="0" fontId="4" fillId="3" borderId="20" xfId="0" applyFont="1" applyFill="1" applyBorder="1"/>
    <xf numFmtId="0" fontId="14" fillId="3" borderId="20" xfId="0" applyFont="1" applyFill="1" applyBorder="1"/>
    <xf numFmtId="0" fontId="4" fillId="3" borderId="19" xfId="0" applyFont="1" applyFill="1" applyBorder="1" applyAlignment="1">
      <alignment horizontal="center"/>
    </xf>
    <xf numFmtId="165" fontId="17" fillId="3" borderId="4" xfId="0" applyNumberFormat="1" applyFont="1" applyFill="1" applyBorder="1" applyAlignment="1">
      <alignment horizontal="right"/>
    </xf>
    <xf numFmtId="1" fontId="19" fillId="7" borderId="4" xfId="0" applyNumberFormat="1" applyFont="1" applyFill="1" applyBorder="1" applyAlignment="1">
      <alignment horizontal="right"/>
    </xf>
    <xf numFmtId="1" fontId="19" fillId="10" borderId="4" xfId="0" applyNumberFormat="1" applyFont="1" applyFill="1" applyBorder="1" applyAlignment="1">
      <alignment horizontal="right"/>
    </xf>
    <xf numFmtId="164" fontId="4" fillId="10" borderId="5" xfId="1" applyNumberFormat="1" applyFont="1" applyFill="1" applyBorder="1" applyAlignment="1">
      <alignment horizontal="right"/>
    </xf>
    <xf numFmtId="9" fontId="4" fillId="10" borderId="5" xfId="0" applyNumberFormat="1" applyFont="1" applyFill="1" applyBorder="1" applyAlignment="1">
      <alignment horizontal="right"/>
    </xf>
    <xf numFmtId="10" fontId="4" fillId="10" borderId="5" xfId="0" applyNumberFormat="1" applyFont="1" applyFill="1" applyBorder="1" applyAlignment="1">
      <alignment horizontal="right"/>
    </xf>
    <xf numFmtId="1" fontId="20" fillId="10" borderId="4" xfId="0" applyNumberFormat="1" applyFont="1" applyFill="1" applyBorder="1" applyAlignment="1">
      <alignment horizontal="right"/>
    </xf>
    <xf numFmtId="1" fontId="20" fillId="4" borderId="4" xfId="0" applyNumberFormat="1" applyFont="1" applyFill="1" applyBorder="1" applyAlignment="1">
      <alignment horizontal="right"/>
    </xf>
    <xf numFmtId="2" fontId="19" fillId="7" borderId="4" xfId="0" applyNumberFormat="1" applyFont="1" applyFill="1" applyBorder="1" applyAlignment="1">
      <alignment horizontal="right"/>
    </xf>
    <xf numFmtId="164" fontId="4" fillId="3" borderId="0" xfId="1" applyNumberFormat="1" applyFont="1" applyFill="1" applyBorder="1"/>
    <xf numFmtId="165" fontId="4" fillId="3" borderId="0" xfId="0" applyNumberFormat="1" applyFont="1" applyFill="1" applyBorder="1" applyAlignment="1">
      <alignment horizontal="center"/>
    </xf>
    <xf numFmtId="164" fontId="3" fillId="6" borderId="11" xfId="1" applyNumberFormat="1" applyFont="1" applyFill="1" applyBorder="1" applyAlignment="1">
      <alignment horizontal="right"/>
    </xf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wrapText="1"/>
    </xf>
    <xf numFmtId="164" fontId="4" fillId="7" borderId="5" xfId="1" applyNumberFormat="1" applyFont="1" applyFill="1" applyBorder="1" applyAlignment="1">
      <alignment horizontal="center"/>
    </xf>
    <xf numFmtId="165" fontId="4" fillId="7" borderId="5" xfId="0" applyNumberFormat="1" applyFont="1" applyFill="1" applyBorder="1" applyAlignment="1">
      <alignment horizontal="center"/>
    </xf>
    <xf numFmtId="164" fontId="4" fillId="7" borderId="5" xfId="1" applyNumberFormat="1" applyFont="1" applyFill="1" applyBorder="1"/>
    <xf numFmtId="0" fontId="3" fillId="11" borderId="5" xfId="0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/>
    </xf>
    <xf numFmtId="165" fontId="4" fillId="11" borderId="5" xfId="0" applyNumberFormat="1" applyFont="1" applyFill="1" applyBorder="1" applyAlignment="1">
      <alignment horizontal="center"/>
    </xf>
    <xf numFmtId="43" fontId="5" fillId="3" borderId="21" xfId="1" applyFont="1" applyFill="1" applyBorder="1"/>
    <xf numFmtId="0" fontId="6" fillId="3" borderId="22" xfId="0" applyFont="1" applyFill="1" applyBorder="1"/>
    <xf numFmtId="0" fontId="7" fillId="3" borderId="22" xfId="0" applyFont="1" applyFill="1" applyBorder="1"/>
    <xf numFmtId="0" fontId="3" fillId="9" borderId="24" xfId="0" applyFont="1" applyFill="1" applyBorder="1"/>
    <xf numFmtId="10" fontId="11" fillId="9" borderId="0" xfId="0" applyNumberFormat="1" applyFont="1" applyFill="1" applyBorder="1" applyAlignment="1">
      <alignment horizontal="left"/>
    </xf>
    <xf numFmtId="0" fontId="4" fillId="9" borderId="0" xfId="0" applyFont="1" applyFill="1" applyBorder="1" applyAlignment="1">
      <alignment horizontal="right"/>
    </xf>
    <xf numFmtId="0" fontId="0" fillId="9" borderId="0" xfId="0" applyFont="1" applyFill="1" applyBorder="1"/>
    <xf numFmtId="0" fontId="3" fillId="2" borderId="8" xfId="0" applyFont="1" applyFill="1" applyBorder="1" applyAlignment="1">
      <alignment vertical="center"/>
    </xf>
    <xf numFmtId="0" fontId="4" fillId="2" borderId="8" xfId="0" applyFont="1" applyFill="1" applyBorder="1"/>
    <xf numFmtId="0" fontId="10" fillId="2" borderId="8" xfId="0" applyFont="1" applyFill="1" applyBorder="1"/>
    <xf numFmtId="0" fontId="0" fillId="2" borderId="8" xfId="0" applyFont="1" applyFill="1" applyBorder="1"/>
    <xf numFmtId="0" fontId="20" fillId="7" borderId="8" xfId="0" applyFont="1" applyFill="1" applyBorder="1"/>
    <xf numFmtId="0" fontId="19" fillId="7" borderId="8" xfId="0" applyFont="1" applyFill="1" applyBorder="1" applyAlignment="1">
      <alignment horizontal="left" indent="4"/>
    </xf>
    <xf numFmtId="0" fontId="20" fillId="10" borderId="8" xfId="0" applyFont="1" applyFill="1" applyBorder="1"/>
    <xf numFmtId="0" fontId="20" fillId="4" borderId="8" xfId="0" applyFont="1" applyFill="1" applyBorder="1"/>
    <xf numFmtId="164" fontId="3" fillId="6" borderId="8" xfId="1" applyNumberFormat="1" applyFont="1" applyFill="1" applyBorder="1"/>
    <xf numFmtId="0" fontId="4" fillId="3" borderId="25" xfId="0" applyFont="1" applyFill="1" applyBorder="1"/>
    <xf numFmtId="164" fontId="3" fillId="7" borderId="24" xfId="1" applyNumberFormat="1" applyFont="1" applyFill="1" applyBorder="1"/>
    <xf numFmtId="0" fontId="3" fillId="7" borderId="24" xfId="0" applyFont="1" applyFill="1" applyBorder="1"/>
    <xf numFmtId="0" fontId="4" fillId="7" borderId="24" xfId="0" applyFont="1" applyFill="1" applyBorder="1"/>
    <xf numFmtId="164" fontId="4" fillId="7" borderId="27" xfId="1" applyNumberFormat="1" applyFont="1" applyFill="1" applyBorder="1"/>
    <xf numFmtId="0" fontId="4" fillId="7" borderId="27" xfId="0" applyFont="1" applyFill="1" applyBorder="1"/>
    <xf numFmtId="165" fontId="4" fillId="11" borderId="27" xfId="0" applyNumberFormat="1" applyFont="1" applyFill="1" applyBorder="1" applyAlignment="1">
      <alignment horizontal="center"/>
    </xf>
    <xf numFmtId="165" fontId="4" fillId="7" borderId="27" xfId="0" applyNumberFormat="1" applyFont="1" applyFill="1" applyBorder="1" applyAlignment="1">
      <alignment horizontal="center"/>
    </xf>
    <xf numFmtId="9" fontId="21" fillId="2" borderId="5" xfId="2" applyFont="1" applyFill="1" applyBorder="1" applyAlignment="1">
      <alignment horizontal="right"/>
    </xf>
    <xf numFmtId="1" fontId="21" fillId="10" borderId="4" xfId="0" applyNumberFormat="1" applyFont="1" applyFill="1" applyBorder="1" applyAlignment="1">
      <alignment horizontal="right"/>
    </xf>
    <xf numFmtId="164" fontId="21" fillId="10" borderId="5" xfId="1" applyNumberFormat="1" applyFont="1" applyFill="1" applyBorder="1" applyAlignment="1">
      <alignment horizontal="right"/>
    </xf>
    <xf numFmtId="10" fontId="21" fillId="10" borderId="5" xfId="0" applyNumberFormat="1" applyFont="1" applyFill="1" applyBorder="1" applyAlignment="1">
      <alignment horizontal="right"/>
    </xf>
    <xf numFmtId="0" fontId="21" fillId="7" borderId="8" xfId="0" applyFont="1" applyFill="1" applyBorder="1" applyAlignment="1">
      <alignment horizontal="left" indent="4"/>
    </xf>
    <xf numFmtId="1" fontId="21" fillId="7" borderId="4" xfId="0" applyNumberFormat="1" applyFont="1" applyFill="1" applyBorder="1" applyAlignment="1">
      <alignment horizontal="right"/>
    </xf>
    <xf numFmtId="9" fontId="21" fillId="7" borderId="5" xfId="2" applyFont="1" applyFill="1" applyBorder="1" applyAlignment="1">
      <alignment horizontal="right"/>
    </xf>
    <xf numFmtId="167" fontId="21" fillId="7" borderId="5" xfId="1" applyNumberFormat="1" applyFont="1" applyFill="1" applyBorder="1" applyAlignment="1">
      <alignment horizontal="right"/>
    </xf>
    <xf numFmtId="164" fontId="21" fillId="4" borderId="5" xfId="1" applyNumberFormat="1" applyFont="1" applyFill="1" applyBorder="1" applyAlignment="1">
      <alignment horizontal="right"/>
    </xf>
    <xf numFmtId="10" fontId="21" fillId="4" borderId="5" xfId="0" applyNumberFormat="1" applyFont="1" applyFill="1" applyBorder="1" applyAlignment="1">
      <alignment horizontal="right"/>
    </xf>
    <xf numFmtId="165" fontId="23" fillId="7" borderId="4" xfId="0" applyNumberFormat="1" applyFont="1" applyFill="1" applyBorder="1" applyAlignment="1">
      <alignment horizontal="right"/>
    </xf>
    <xf numFmtId="43" fontId="19" fillId="7" borderId="8" xfId="1" applyFont="1" applyFill="1" applyBorder="1" applyAlignment="1">
      <alignment horizontal="left" indent="4"/>
    </xf>
    <xf numFmtId="9" fontId="19" fillId="7" borderId="8" xfId="2" applyNumberFormat="1" applyFont="1" applyFill="1" applyBorder="1" applyAlignment="1">
      <alignment horizontal="left" indent="4"/>
    </xf>
    <xf numFmtId="0" fontId="21" fillId="10" borderId="8" xfId="0" applyFont="1" applyFill="1" applyBorder="1" applyAlignment="1">
      <alignment horizontal="left" indent="4"/>
    </xf>
    <xf numFmtId="0" fontId="19" fillId="10" borderId="8" xfId="0" applyFont="1" applyFill="1" applyBorder="1" applyAlignment="1">
      <alignment horizontal="left" indent="4"/>
    </xf>
    <xf numFmtId="0" fontId="21" fillId="4" borderId="8" xfId="0" applyFont="1" applyFill="1" applyBorder="1" applyAlignment="1">
      <alignment horizontal="left" indent="4"/>
    </xf>
    <xf numFmtId="0" fontId="19" fillId="4" borderId="8" xfId="0" applyFont="1" applyFill="1" applyBorder="1" applyAlignment="1">
      <alignment horizontal="left" indent="4"/>
    </xf>
    <xf numFmtId="164" fontId="4" fillId="12" borderId="5" xfId="1" applyNumberFormat="1" applyFont="1" applyFill="1" applyBorder="1" applyAlignment="1">
      <alignment horizontal="right"/>
    </xf>
    <xf numFmtId="10" fontId="4" fillId="12" borderId="5" xfId="0" applyNumberFormat="1" applyFont="1" applyFill="1" applyBorder="1" applyAlignment="1">
      <alignment horizontal="right"/>
    </xf>
    <xf numFmtId="0" fontId="3" fillId="7" borderId="26" xfId="0" applyFont="1" applyFill="1" applyBorder="1"/>
    <xf numFmtId="0" fontId="25" fillId="3" borderId="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4" fillId="3" borderId="23" xfId="0" applyFont="1" applyFill="1" applyBorder="1"/>
    <xf numFmtId="0" fontId="4" fillId="3" borderId="0" xfId="0" quotePrefix="1" applyFont="1" applyFill="1" applyBorder="1"/>
    <xf numFmtId="0" fontId="4" fillId="3" borderId="24" xfId="0" applyFont="1" applyFill="1" applyBorder="1"/>
    <xf numFmtId="0" fontId="13" fillId="3" borderId="26" xfId="0" applyFont="1" applyFill="1" applyBorder="1" applyAlignment="1">
      <alignment horizontal="left" indent="1"/>
    </xf>
    <xf numFmtId="0" fontId="14" fillId="3" borderId="24" xfId="0" applyFont="1" applyFill="1" applyBorder="1"/>
    <xf numFmtId="0" fontId="14" fillId="3" borderId="0" xfId="0" applyFont="1" applyFill="1" applyBorder="1"/>
    <xf numFmtId="0" fontId="14" fillId="3" borderId="25" xfId="0" applyFont="1" applyFill="1" applyBorder="1"/>
    <xf numFmtId="0" fontId="14" fillId="3" borderId="2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left" indent="7"/>
    </xf>
    <xf numFmtId="0" fontId="0" fillId="0" borderId="0" xfId="0" applyBorder="1"/>
    <xf numFmtId="0" fontId="13" fillId="3" borderId="24" xfId="0" applyFont="1" applyFill="1" applyBorder="1"/>
    <xf numFmtId="0" fontId="15" fillId="3" borderId="24" xfId="0" applyFont="1" applyFill="1" applyBorder="1"/>
    <xf numFmtId="0" fontId="4" fillId="3" borderId="28" xfId="0" applyFont="1" applyFill="1" applyBorder="1"/>
    <xf numFmtId="0" fontId="3" fillId="9" borderId="21" xfId="0" applyFont="1" applyFill="1" applyBorder="1"/>
    <xf numFmtId="164" fontId="11" fillId="5" borderId="35" xfId="1" applyNumberFormat="1" applyFont="1" applyFill="1" applyBorder="1" applyAlignment="1">
      <alignment horizontal="center"/>
    </xf>
    <xf numFmtId="10" fontId="11" fillId="9" borderId="22" xfId="0" applyNumberFormat="1" applyFont="1" applyFill="1" applyBorder="1" applyAlignment="1">
      <alignment horizontal="left"/>
    </xf>
    <xf numFmtId="0" fontId="4" fillId="9" borderId="22" xfId="0" applyFont="1" applyFill="1" applyBorder="1"/>
    <xf numFmtId="0" fontId="2" fillId="9" borderId="22" xfId="0" applyFont="1" applyFill="1" applyBorder="1"/>
    <xf numFmtId="0" fontId="4" fillId="9" borderId="36" xfId="0" applyFont="1" applyFill="1" applyBorder="1"/>
    <xf numFmtId="165" fontId="4" fillId="9" borderId="37" xfId="0" applyNumberFormat="1" applyFont="1" applyFill="1" applyBorder="1" applyAlignment="1">
      <alignment horizontal="right"/>
    </xf>
    <xf numFmtId="1" fontId="4" fillId="9" borderId="37" xfId="0" applyNumberFormat="1" applyFont="1" applyFill="1" applyBorder="1" applyAlignment="1">
      <alignment horizontal="right"/>
    </xf>
    <xf numFmtId="9" fontId="4" fillId="9" borderId="27" xfId="2" applyFont="1" applyFill="1" applyBorder="1" applyAlignment="1">
      <alignment horizontal="right"/>
    </xf>
    <xf numFmtId="164" fontId="3" fillId="6" borderId="33" xfId="1" applyNumberFormat="1" applyFont="1" applyFill="1" applyBorder="1"/>
    <xf numFmtId="164" fontId="3" fillId="6" borderId="34" xfId="1" applyNumberFormat="1" applyFont="1" applyFill="1" applyBorder="1" applyAlignment="1">
      <alignment horizontal="right"/>
    </xf>
    <xf numFmtId="0" fontId="3" fillId="8" borderId="39" xfId="0" applyFont="1" applyFill="1" applyBorder="1" applyAlignment="1">
      <alignment vertical="center"/>
    </xf>
    <xf numFmtId="164" fontId="11" fillId="13" borderId="40" xfId="1" applyNumberFormat="1" applyFont="1" applyFill="1" applyBorder="1" applyAlignment="1">
      <alignment horizontal="right" vertical="center"/>
    </xf>
    <xf numFmtId="0" fontId="11" fillId="8" borderId="40" xfId="0" applyFont="1" applyFill="1" applyBorder="1" applyAlignment="1">
      <alignment horizontal="left"/>
    </xf>
    <xf numFmtId="0" fontId="3" fillId="8" borderId="22" xfId="0" applyFont="1" applyFill="1" applyBorder="1" applyAlignment="1">
      <alignment vertical="center"/>
    </xf>
    <xf numFmtId="0" fontId="3" fillId="8" borderId="36" xfId="0" applyFont="1" applyFill="1" applyBorder="1" applyAlignment="1">
      <alignment vertical="center"/>
    </xf>
    <xf numFmtId="165" fontId="3" fillId="8" borderId="20" xfId="0" applyNumberFormat="1" applyFont="1" applyFill="1" applyBorder="1" applyAlignment="1">
      <alignment horizontal="right" vertical="center" wrapText="1"/>
    </xf>
    <xf numFmtId="164" fontId="3" fillId="8" borderId="27" xfId="0" applyNumberFormat="1" applyFont="1" applyFill="1" applyBorder="1" applyAlignment="1">
      <alignment horizontal="right" vertical="center" wrapText="1"/>
    </xf>
    <xf numFmtId="0" fontId="3" fillId="8" borderId="27" xfId="0" applyFont="1" applyFill="1" applyBorder="1" applyAlignment="1">
      <alignment horizontal="right" vertical="center" wrapText="1"/>
    </xf>
    <xf numFmtId="43" fontId="4" fillId="3" borderId="0" xfId="0" applyNumberFormat="1" applyFont="1" applyFill="1" applyBorder="1"/>
    <xf numFmtId="164" fontId="4" fillId="6" borderId="34" xfId="1" applyNumberFormat="1" applyFont="1" applyFill="1" applyBorder="1" applyAlignment="1">
      <alignment horizontal="right"/>
    </xf>
    <xf numFmtId="1" fontId="4" fillId="9" borderId="0" xfId="0" applyNumberFormat="1" applyFont="1" applyFill="1" applyBorder="1" applyAlignment="1">
      <alignment horizontal="right"/>
    </xf>
    <xf numFmtId="165" fontId="3" fillId="8" borderId="36" xfId="0" applyNumberFormat="1" applyFont="1" applyFill="1" applyBorder="1" applyAlignment="1">
      <alignment vertical="center"/>
    </xf>
    <xf numFmtId="0" fontId="3" fillId="8" borderId="36" xfId="0" applyFont="1" applyFill="1" applyBorder="1" applyAlignment="1">
      <alignment vertical="center" wrapText="1"/>
    </xf>
    <xf numFmtId="0" fontId="4" fillId="8" borderId="36" xfId="0" applyFont="1" applyFill="1" applyBorder="1" applyAlignment="1">
      <alignment vertical="center"/>
    </xf>
    <xf numFmtId="165" fontId="4" fillId="8" borderId="36" xfId="0" applyNumberFormat="1" applyFont="1" applyFill="1" applyBorder="1" applyAlignment="1">
      <alignment vertical="center"/>
    </xf>
    <xf numFmtId="164" fontId="4" fillId="6" borderId="8" xfId="1" applyNumberFormat="1" applyFont="1" applyFill="1" applyBorder="1"/>
    <xf numFmtId="164" fontId="4" fillId="6" borderId="11" xfId="1" applyNumberFormat="1" applyFont="1" applyFill="1" applyBorder="1" applyAlignment="1">
      <alignment horizontal="right"/>
    </xf>
    <xf numFmtId="9" fontId="3" fillId="8" borderId="27" xfId="0" applyNumberFormat="1" applyFont="1" applyFill="1" applyBorder="1" applyAlignment="1">
      <alignment horizontal="right" vertical="center" wrapText="1"/>
    </xf>
    <xf numFmtId="9" fontId="3" fillId="8" borderId="27" xfId="2" applyFont="1" applyFill="1" applyBorder="1" applyAlignment="1">
      <alignment horizontal="right" vertical="center" wrapText="1"/>
    </xf>
    <xf numFmtId="9" fontId="4" fillId="6" borderId="34" xfId="2" applyFont="1" applyFill="1" applyBorder="1" applyAlignment="1">
      <alignment horizontal="right"/>
    </xf>
    <xf numFmtId="9" fontId="4" fillId="6" borderId="5" xfId="2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0" fillId="3" borderId="0" xfId="0" applyFill="1" applyBorder="1"/>
    <xf numFmtId="0" fontId="14" fillId="3" borderId="0" xfId="0" applyFont="1" applyFill="1" applyBorder="1" applyAlignment="1">
      <alignment horizontal="center"/>
    </xf>
    <xf numFmtId="165" fontId="25" fillId="3" borderId="0" xfId="0" applyNumberFormat="1" applyFont="1" applyFill="1" applyBorder="1" applyAlignment="1">
      <alignment horizontal="center"/>
    </xf>
    <xf numFmtId="0" fontId="15" fillId="3" borderId="24" xfId="0" applyFont="1" applyFill="1" applyBorder="1" applyAlignment="1">
      <alignment horizontal="left" indent="1"/>
    </xf>
    <xf numFmtId="0" fontId="29" fillId="3" borderId="24" xfId="0" applyFont="1" applyFill="1" applyBorder="1" applyAlignment="1">
      <alignment horizontal="left" indent="7"/>
    </xf>
    <xf numFmtId="0" fontId="25" fillId="3" borderId="0" xfId="0" applyFont="1" applyFill="1" applyBorder="1"/>
    <xf numFmtId="0" fontId="25" fillId="3" borderId="19" xfId="0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 vertical="center"/>
    </xf>
    <xf numFmtId="0" fontId="3" fillId="3" borderId="19" xfId="0" applyFont="1" applyFill="1" applyBorder="1"/>
    <xf numFmtId="0" fontId="4" fillId="3" borderId="19" xfId="0" applyFont="1" applyFill="1" applyBorder="1"/>
    <xf numFmtId="0" fontId="4" fillId="14" borderId="0" xfId="0" applyFont="1" applyFill="1"/>
    <xf numFmtId="0" fontId="4" fillId="14" borderId="0" xfId="0" applyFont="1" applyFill="1" applyBorder="1"/>
    <xf numFmtId="0" fontId="6" fillId="14" borderId="0" xfId="0" applyFont="1" applyFill="1"/>
    <xf numFmtId="0" fontId="3" fillId="14" borderId="0" xfId="0" applyFont="1" applyFill="1" applyBorder="1" applyAlignment="1">
      <alignment vertical="center"/>
    </xf>
    <xf numFmtId="0" fontId="2" fillId="14" borderId="0" xfId="0" applyFont="1" applyFill="1"/>
    <xf numFmtId="0" fontId="6" fillId="14" borderId="22" xfId="0" applyFont="1" applyFill="1" applyBorder="1"/>
    <xf numFmtId="0" fontId="6" fillId="14" borderId="23" xfId="0" applyFont="1" applyFill="1" applyBorder="1"/>
    <xf numFmtId="0" fontId="17" fillId="14" borderId="22" xfId="0" applyFont="1" applyFill="1" applyBorder="1" applyAlignment="1">
      <alignment horizontal="right"/>
    </xf>
    <xf numFmtId="0" fontId="17" fillId="14" borderId="23" xfId="0" applyFont="1" applyFill="1" applyBorder="1" applyAlignment="1">
      <alignment horizontal="left"/>
    </xf>
    <xf numFmtId="0" fontId="6" fillId="14" borderId="0" xfId="0" applyFont="1" applyFill="1" applyAlignment="1">
      <alignment horizontal="center"/>
    </xf>
    <xf numFmtId="0" fontId="8" fillId="14" borderId="18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vertical="center"/>
    </xf>
    <xf numFmtId="0" fontId="6" fillId="14" borderId="0" xfId="0" applyFont="1" applyFill="1" applyBorder="1"/>
    <xf numFmtId="0" fontId="19" fillId="14" borderId="25" xfId="0" applyFont="1" applyFill="1" applyBorder="1" applyAlignment="1">
      <alignment horizontal="left"/>
    </xf>
    <xf numFmtId="0" fontId="8" fillId="14" borderId="29" xfId="0" applyFont="1" applyFill="1" applyBorder="1" applyAlignment="1">
      <alignment vertical="center"/>
    </xf>
    <xf numFmtId="0" fontId="8" fillId="14" borderId="0" xfId="0" applyFont="1" applyFill="1" applyAlignment="1">
      <alignment vertical="center"/>
    </xf>
    <xf numFmtId="0" fontId="8" fillId="14" borderId="11" xfId="0" applyFont="1" applyFill="1" applyBorder="1" applyAlignment="1">
      <alignment vertical="center"/>
    </xf>
    <xf numFmtId="0" fontId="9" fillId="14" borderId="0" xfId="0" applyFont="1" applyFill="1" applyAlignment="1">
      <alignment vertical="center" wrapText="1"/>
    </xf>
    <xf numFmtId="0" fontId="6" fillId="14" borderId="0" xfId="0" applyFont="1" applyFill="1" applyAlignment="1">
      <alignment vertical="center"/>
    </xf>
    <xf numFmtId="14" fontId="8" fillId="14" borderId="11" xfId="0" applyNumberFormat="1" applyFont="1" applyFill="1" applyBorder="1" applyAlignment="1">
      <alignment horizontal="center" vertical="center" wrapText="1"/>
    </xf>
    <xf numFmtId="0" fontId="8" fillId="14" borderId="15" xfId="0" applyFont="1" applyFill="1" applyBorder="1" applyAlignment="1">
      <alignment vertical="center"/>
    </xf>
    <xf numFmtId="0" fontId="22" fillId="14" borderId="25" xfId="0" applyFont="1" applyFill="1" applyBorder="1" applyAlignment="1">
      <alignment horizontal="left"/>
    </xf>
    <xf numFmtId="0" fontId="6" fillId="14" borderId="30" xfId="0" applyFont="1" applyFill="1" applyBorder="1"/>
    <xf numFmtId="0" fontId="8" fillId="14" borderId="5" xfId="0" applyFont="1" applyFill="1" applyBorder="1" applyAlignment="1">
      <alignment vertical="center"/>
    </xf>
    <xf numFmtId="0" fontId="8" fillId="14" borderId="0" xfId="0" applyFont="1" applyFill="1" applyAlignment="1">
      <alignment vertical="center" wrapText="1"/>
    </xf>
    <xf numFmtId="0" fontId="2" fillId="14" borderId="22" xfId="0" applyFont="1" applyFill="1" applyBorder="1"/>
    <xf numFmtId="0" fontId="4" fillId="14" borderId="22" xfId="0" applyFont="1" applyFill="1" applyBorder="1"/>
    <xf numFmtId="0" fontId="4" fillId="14" borderId="23" xfId="0" applyFont="1" applyFill="1" applyBorder="1"/>
    <xf numFmtId="0" fontId="4" fillId="14" borderId="20" xfId="0" applyFont="1" applyFill="1" applyBorder="1"/>
    <xf numFmtId="0" fontId="24" fillId="14" borderId="31" xfId="0" applyFont="1" applyFill="1" applyBorder="1" applyAlignment="1">
      <alignment vertical="top" wrapText="1"/>
    </xf>
    <xf numFmtId="0" fontId="4" fillId="14" borderId="2" xfId="0" applyFont="1" applyFill="1" applyBorder="1"/>
    <xf numFmtId="0" fontId="4" fillId="14" borderId="0" xfId="0" applyFont="1" applyFill="1" applyAlignment="1">
      <alignment wrapText="1"/>
    </xf>
    <xf numFmtId="0" fontId="0" fillId="14" borderId="0" xfId="0" applyFont="1" applyFill="1" applyBorder="1"/>
    <xf numFmtId="0" fontId="4" fillId="14" borderId="25" xfId="0" applyFont="1" applyFill="1" applyBorder="1"/>
    <xf numFmtId="0" fontId="3" fillId="14" borderId="5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center" vertical="center" wrapText="1"/>
    </xf>
    <xf numFmtId="9" fontId="21" fillId="14" borderId="5" xfId="2" applyFont="1" applyFill="1" applyBorder="1" applyAlignment="1">
      <alignment horizontal="right"/>
    </xf>
    <xf numFmtId="0" fontId="17" fillId="14" borderId="5" xfId="0" applyFont="1" applyFill="1" applyBorder="1" applyAlignment="1">
      <alignment horizontal="right"/>
    </xf>
    <xf numFmtId="0" fontId="4" fillId="14" borderId="5" xfId="0" applyFont="1" applyFill="1" applyBorder="1" applyAlignment="1">
      <alignment horizontal="right"/>
    </xf>
    <xf numFmtId="2" fontId="21" fillId="14" borderId="9" xfId="0" applyNumberFormat="1" applyFont="1" applyFill="1" applyBorder="1" applyAlignment="1">
      <alignment horizontal="right"/>
    </xf>
    <xf numFmtId="0" fontId="21" fillId="14" borderId="0" xfId="0" applyFont="1" applyFill="1" applyBorder="1" applyAlignment="1">
      <alignment horizontal="right"/>
    </xf>
    <xf numFmtId="10" fontId="4" fillId="14" borderId="5" xfId="0" applyNumberFormat="1" applyFont="1" applyFill="1" applyBorder="1" applyAlignment="1">
      <alignment horizontal="right"/>
    </xf>
    <xf numFmtId="2" fontId="4" fillId="14" borderId="9" xfId="0" applyNumberFormat="1" applyFont="1" applyFill="1" applyBorder="1" applyAlignment="1">
      <alignment horizontal="right"/>
    </xf>
    <xf numFmtId="0" fontId="4" fillId="14" borderId="0" xfId="0" applyFont="1" applyFill="1" applyBorder="1" applyAlignment="1">
      <alignment horizontal="right"/>
    </xf>
    <xf numFmtId="9" fontId="4" fillId="14" borderId="5" xfId="2" applyFont="1" applyFill="1" applyBorder="1" applyAlignment="1">
      <alignment horizontal="right"/>
    </xf>
    <xf numFmtId="1" fontId="4" fillId="14" borderId="0" xfId="0" applyNumberFormat="1" applyFont="1" applyFill="1"/>
    <xf numFmtId="9" fontId="4" fillId="14" borderId="27" xfId="2" applyFont="1" applyFill="1" applyBorder="1" applyAlignment="1">
      <alignment horizontal="right"/>
    </xf>
    <xf numFmtId="0" fontId="4" fillId="14" borderId="27" xfId="0" applyFont="1" applyFill="1" applyBorder="1" applyAlignment="1">
      <alignment horizontal="right"/>
    </xf>
    <xf numFmtId="43" fontId="4" fillId="14" borderId="38" xfId="0" applyNumberFormat="1" applyFont="1" applyFill="1" applyBorder="1" applyAlignment="1">
      <alignment horizontal="right"/>
    </xf>
    <xf numFmtId="9" fontId="4" fillId="14" borderId="0" xfId="2" applyFont="1" applyFill="1" applyBorder="1" applyAlignment="1">
      <alignment horizontal="right"/>
    </xf>
    <xf numFmtId="0" fontId="3" fillId="14" borderId="22" xfId="0" applyFont="1" applyFill="1" applyBorder="1" applyAlignment="1">
      <alignment vertical="center"/>
    </xf>
    <xf numFmtId="0" fontId="3" fillId="14" borderId="23" xfId="0" applyFont="1" applyFill="1" applyBorder="1" applyAlignment="1">
      <alignment vertical="center"/>
    </xf>
    <xf numFmtId="0" fontId="3" fillId="14" borderId="0" xfId="0" applyFont="1" applyFill="1" applyBorder="1" applyAlignment="1">
      <alignment horizontal="right" vertical="center" wrapText="1"/>
    </xf>
    <xf numFmtId="0" fontId="3" fillId="14" borderId="5" xfId="0" applyFont="1" applyFill="1" applyBorder="1" applyAlignment="1">
      <alignment horizontal="right" vertical="center" wrapText="1"/>
    </xf>
    <xf numFmtId="0" fontId="3" fillId="14" borderId="9" xfId="0" applyFont="1" applyFill="1" applyBorder="1" applyAlignment="1">
      <alignment horizontal="right" vertical="center" wrapText="1"/>
    </xf>
    <xf numFmtId="0" fontId="4" fillId="14" borderId="9" xfId="0" applyFont="1" applyFill="1" applyBorder="1" applyAlignment="1">
      <alignment horizontal="right"/>
    </xf>
    <xf numFmtId="167" fontId="21" fillId="14" borderId="5" xfId="1" applyNumberFormat="1" applyFont="1" applyFill="1" applyBorder="1" applyAlignment="1">
      <alignment horizontal="right"/>
    </xf>
    <xf numFmtId="167" fontId="21" fillId="14" borderId="9" xfId="1" applyNumberFormat="1" applyFont="1" applyFill="1" applyBorder="1" applyAlignment="1">
      <alignment horizontal="right"/>
    </xf>
    <xf numFmtId="9" fontId="4" fillId="14" borderId="5" xfId="0" applyNumberFormat="1" applyFont="1" applyFill="1" applyBorder="1" applyAlignment="1">
      <alignment horizontal="right"/>
    </xf>
    <xf numFmtId="0" fontId="19" fillId="14" borderId="8" xfId="0" applyFont="1" applyFill="1" applyBorder="1" applyAlignment="1">
      <alignment horizontal="left" indent="4"/>
    </xf>
    <xf numFmtId="0" fontId="19" fillId="14" borderId="41" xfId="0" applyFont="1" applyFill="1" applyBorder="1" applyAlignment="1">
      <alignment horizontal="left" indent="4"/>
    </xf>
    <xf numFmtId="166" fontId="4" fillId="14" borderId="0" xfId="2" applyNumberFormat="1" applyFont="1" applyFill="1" applyBorder="1" applyAlignment="1">
      <alignment horizontal="right"/>
    </xf>
    <xf numFmtId="10" fontId="21" fillId="14" borderId="5" xfId="0" applyNumberFormat="1" applyFont="1" applyFill="1" applyBorder="1" applyAlignment="1">
      <alignment horizontal="right"/>
    </xf>
    <xf numFmtId="0" fontId="21" fillId="14" borderId="5" xfId="0" applyFont="1" applyFill="1" applyBorder="1" applyAlignment="1">
      <alignment horizontal="right"/>
    </xf>
    <xf numFmtId="0" fontId="21" fillId="14" borderId="9" xfId="0" applyFont="1" applyFill="1" applyBorder="1" applyAlignment="1">
      <alignment horizontal="right"/>
    </xf>
    <xf numFmtId="164" fontId="4" fillId="14" borderId="5" xfId="1" applyNumberFormat="1" applyFont="1" applyFill="1" applyBorder="1" applyAlignment="1">
      <alignment horizontal="right"/>
    </xf>
    <xf numFmtId="167" fontId="4" fillId="14" borderId="9" xfId="1" applyNumberFormat="1" applyFont="1" applyFill="1" applyBorder="1" applyAlignment="1">
      <alignment horizontal="right"/>
    </xf>
    <xf numFmtId="0" fontId="4" fillId="14" borderId="3" xfId="0" applyFont="1" applyFill="1" applyBorder="1"/>
    <xf numFmtId="43" fontId="4" fillId="14" borderId="3" xfId="0" applyNumberFormat="1" applyFont="1" applyFill="1" applyBorder="1"/>
    <xf numFmtId="0" fontId="3" fillId="14" borderId="27" xfId="0" applyFont="1" applyFill="1" applyBorder="1" applyAlignment="1">
      <alignment horizontal="right" vertical="center" wrapText="1"/>
    </xf>
    <xf numFmtId="0" fontId="3" fillId="14" borderId="38" xfId="0" applyFont="1" applyFill="1" applyBorder="1" applyAlignment="1">
      <alignment horizontal="right" vertical="center" wrapText="1"/>
    </xf>
    <xf numFmtId="9" fontId="3" fillId="14" borderId="27" xfId="0" applyNumberFormat="1" applyFont="1" applyFill="1" applyBorder="1" applyAlignment="1">
      <alignment horizontal="right" vertical="center" wrapText="1"/>
    </xf>
    <xf numFmtId="164" fontId="3" fillId="14" borderId="0" xfId="1" applyNumberFormat="1" applyFont="1" applyFill="1" applyBorder="1" applyAlignment="1">
      <alignment horizontal="right"/>
    </xf>
    <xf numFmtId="164" fontId="3" fillId="14" borderId="25" xfId="1" applyNumberFormat="1" applyFont="1" applyFill="1" applyBorder="1" applyAlignment="1">
      <alignment horizontal="right"/>
    </xf>
    <xf numFmtId="167" fontId="3" fillId="14" borderId="9" xfId="1" applyNumberFormat="1" applyFont="1" applyFill="1" applyBorder="1" applyAlignment="1">
      <alignment horizontal="right"/>
    </xf>
    <xf numFmtId="167" fontId="3" fillId="14" borderId="25" xfId="1" applyNumberFormat="1" applyFont="1" applyFill="1" applyBorder="1" applyAlignment="1">
      <alignment horizontal="right"/>
    </xf>
    <xf numFmtId="0" fontId="3" fillId="14" borderId="5" xfId="0" applyFont="1" applyFill="1" applyBorder="1" applyAlignment="1">
      <alignment horizontal="center"/>
    </xf>
    <xf numFmtId="0" fontId="4" fillId="14" borderId="5" xfId="0" applyFont="1" applyFill="1" applyBorder="1"/>
    <xf numFmtId="0" fontId="3" fillId="14" borderId="5" xfId="0" applyFont="1" applyFill="1" applyBorder="1" applyAlignment="1">
      <alignment horizontal="center" wrapText="1"/>
    </xf>
    <xf numFmtId="0" fontId="3" fillId="14" borderId="5" xfId="0" applyFont="1" applyFill="1" applyBorder="1"/>
    <xf numFmtId="165" fontId="4" fillId="14" borderId="5" xfId="0" applyNumberFormat="1" applyFont="1" applyFill="1" applyBorder="1" applyAlignment="1">
      <alignment horizontal="center"/>
    </xf>
    <xf numFmtId="0" fontId="0" fillId="14" borderId="0" xfId="0" applyFont="1" applyFill="1"/>
    <xf numFmtId="9" fontId="0" fillId="14" borderId="0" xfId="0" applyNumberFormat="1" applyFont="1" applyFill="1"/>
    <xf numFmtId="43" fontId="0" fillId="14" borderId="5" xfId="0" applyNumberFormat="1" applyFont="1" applyFill="1" applyBorder="1"/>
    <xf numFmtId="0" fontId="2" fillId="14" borderId="0" xfId="0" applyFont="1" applyFill="1" applyBorder="1"/>
    <xf numFmtId="0" fontId="2" fillId="14" borderId="25" xfId="0" applyFont="1" applyFill="1" applyBorder="1"/>
    <xf numFmtId="165" fontId="4" fillId="14" borderId="27" xfId="0" applyNumberFormat="1" applyFont="1" applyFill="1" applyBorder="1" applyAlignment="1">
      <alignment horizontal="center"/>
    </xf>
    <xf numFmtId="43" fontId="0" fillId="14" borderId="27" xfId="0" applyNumberFormat="1" applyFont="1" applyFill="1" applyBorder="1"/>
    <xf numFmtId="0" fontId="2" fillId="14" borderId="20" xfId="0" applyFont="1" applyFill="1" applyBorder="1"/>
    <xf numFmtId="0" fontId="2" fillId="14" borderId="28" xfId="0" applyFont="1" applyFill="1" applyBorder="1"/>
    <xf numFmtId="165" fontId="4" fillId="14" borderId="0" xfId="0" applyNumberFormat="1" applyFont="1" applyFill="1" applyBorder="1" applyAlignment="1">
      <alignment horizontal="center"/>
    </xf>
    <xf numFmtId="0" fontId="3" fillId="14" borderId="0" xfId="0" applyFont="1" applyFill="1" applyAlignment="1">
      <alignment horizontal="center" vertical="center"/>
    </xf>
    <xf numFmtId="0" fontId="14" fillId="14" borderId="0" xfId="0" applyFont="1" applyFill="1" applyBorder="1"/>
    <xf numFmtId="0" fontId="4" fillId="14" borderId="0" xfId="0" applyFont="1" applyFill="1" applyBorder="1" applyAlignment="1">
      <alignment horizontal="center"/>
    </xf>
    <xf numFmtId="0" fontId="4" fillId="14" borderId="0" xfId="0" applyFont="1" applyFill="1" applyAlignment="1">
      <alignment horizontal="center"/>
    </xf>
    <xf numFmtId="164" fontId="4" fillId="14" borderId="0" xfId="1" applyNumberFormat="1" applyFont="1" applyFill="1" applyBorder="1"/>
    <xf numFmtId="1" fontId="4" fillId="14" borderId="0" xfId="0" applyNumberFormat="1" applyFont="1" applyFill="1" applyBorder="1"/>
    <xf numFmtId="168" fontId="4" fillId="14" borderId="0" xfId="0" applyNumberFormat="1" applyFont="1" applyFill="1"/>
    <xf numFmtId="0" fontId="12" fillId="3" borderId="21" xfId="0" applyFont="1" applyFill="1" applyBorder="1" applyAlignment="1">
      <alignment horizontal="left" indent="1"/>
    </xf>
    <xf numFmtId="0" fontId="16" fillId="3" borderId="24" xfId="0" applyFont="1" applyFill="1" applyBorder="1" applyAlignment="1">
      <alignment horizontal="left" vertical="center" indent="1"/>
    </xf>
    <xf numFmtId="0" fontId="15" fillId="3" borderId="0" xfId="0" applyFont="1" applyFill="1" applyBorder="1" applyAlignment="1">
      <alignment horizontal="center"/>
    </xf>
    <xf numFmtId="1" fontId="28" fillId="3" borderId="19" xfId="1" applyNumberFormat="1" applyFont="1" applyFill="1" applyBorder="1" applyAlignment="1" applyProtection="1">
      <alignment horizontal="center"/>
      <protection locked="0" hidden="1"/>
    </xf>
    <xf numFmtId="1" fontId="28" fillId="3" borderId="32" xfId="1" applyNumberFormat="1" applyFont="1" applyFill="1" applyBorder="1" applyAlignment="1" applyProtection="1">
      <alignment horizontal="center"/>
      <protection locked="0" hidden="1"/>
    </xf>
    <xf numFmtId="3" fontId="28" fillId="3" borderId="19" xfId="0" applyNumberFormat="1" applyFont="1" applyFill="1" applyBorder="1" applyAlignment="1" applyProtection="1">
      <alignment horizontal="center"/>
      <protection locked="0"/>
    </xf>
    <xf numFmtId="1" fontId="25" fillId="3" borderId="19" xfId="0" applyNumberFormat="1" applyFont="1" applyFill="1" applyBorder="1" applyAlignment="1" applyProtection="1">
      <alignment horizontal="center"/>
      <protection hidden="1"/>
    </xf>
    <xf numFmtId="1" fontId="25" fillId="3" borderId="19" xfId="1" applyNumberFormat="1" applyFont="1" applyFill="1" applyBorder="1" applyAlignment="1" applyProtection="1">
      <alignment horizontal="center"/>
      <protection hidden="1"/>
    </xf>
    <xf numFmtId="165" fontId="25" fillId="3" borderId="19" xfId="0" applyNumberFormat="1" applyFont="1" applyFill="1" applyBorder="1" applyAlignment="1" applyProtection="1">
      <alignment horizontal="center"/>
      <protection hidden="1"/>
    </xf>
    <xf numFmtId="169" fontId="28" fillId="3" borderId="19" xfId="3" applyNumberFormat="1" applyFont="1" applyFill="1" applyBorder="1" applyAlignment="1" applyProtection="1">
      <alignment horizontal="center"/>
      <protection locked="0" hidden="1"/>
    </xf>
    <xf numFmtId="0" fontId="28" fillId="3" borderId="0" xfId="0" applyFont="1" applyFill="1" applyBorder="1" applyAlignment="1" applyProtection="1">
      <alignment horizontal="center"/>
      <protection locked="0" hidden="1"/>
    </xf>
    <xf numFmtId="169" fontId="28" fillId="3" borderId="19" xfId="0" applyNumberFormat="1" applyFont="1" applyFill="1" applyBorder="1" applyAlignment="1" applyProtection="1">
      <alignment horizontal="center"/>
      <protection locked="0" hidden="1"/>
    </xf>
    <xf numFmtId="6" fontId="28" fillId="3" borderId="19" xfId="0" applyNumberFormat="1" applyFont="1" applyFill="1" applyBorder="1" applyAlignment="1" applyProtection="1">
      <alignment horizontal="center"/>
      <protection locked="0" hidden="1"/>
    </xf>
    <xf numFmtId="170" fontId="25" fillId="3" borderId="6" xfId="0" applyNumberFormat="1" applyFont="1" applyFill="1" applyBorder="1" applyAlignment="1" applyProtection="1">
      <alignment horizontal="center"/>
      <protection hidden="1"/>
    </xf>
    <xf numFmtId="170" fontId="25" fillId="3" borderId="19" xfId="0" applyNumberFormat="1" applyFont="1" applyFill="1" applyBorder="1" applyAlignment="1" applyProtection="1">
      <alignment horizontal="center"/>
      <protection hidden="1"/>
    </xf>
    <xf numFmtId="169" fontId="25" fillId="3" borderId="0" xfId="0" applyNumberFormat="1" applyFont="1" applyFill="1" applyBorder="1" applyAlignment="1" applyProtection="1">
      <alignment horizontal="center"/>
      <protection hidden="1"/>
    </xf>
    <xf numFmtId="169" fontId="25" fillId="3" borderId="19" xfId="0" applyNumberFormat="1" applyFont="1" applyFill="1" applyBorder="1" applyAlignment="1" applyProtection="1">
      <alignment horizontal="center"/>
      <protection hidden="1"/>
    </xf>
    <xf numFmtId="0" fontId="25" fillId="3" borderId="0" xfId="0" applyFont="1" applyFill="1" applyBorder="1" applyAlignment="1" applyProtection="1">
      <alignment horizontal="center"/>
      <protection hidden="1"/>
    </xf>
    <xf numFmtId="0" fontId="25" fillId="3" borderId="19" xfId="0" applyFont="1" applyFill="1" applyBorder="1" applyAlignment="1" applyProtection="1">
      <alignment horizontal="center"/>
      <protection hidden="1"/>
    </xf>
    <xf numFmtId="9" fontId="25" fillId="3" borderId="19" xfId="0" applyNumberFormat="1" applyFont="1" applyFill="1" applyBorder="1" applyAlignment="1" applyProtection="1">
      <alignment horizontal="center"/>
      <protection locked="0" hidden="1"/>
    </xf>
    <xf numFmtId="10" fontId="25" fillId="3" borderId="19" xfId="0" applyNumberFormat="1" applyFont="1" applyFill="1" applyBorder="1" applyAlignment="1" applyProtection="1">
      <alignment horizontal="center"/>
      <protection locked="0" hidden="1"/>
    </xf>
    <xf numFmtId="0" fontId="4" fillId="3" borderId="26" xfId="0" applyFont="1" applyFill="1" applyBorder="1"/>
    <xf numFmtId="1" fontId="25" fillId="3" borderId="6" xfId="0" applyNumberFormat="1" applyFont="1" applyFill="1" applyBorder="1" applyAlignment="1" applyProtection="1">
      <alignment horizontal="center"/>
      <protection locked="0" hidden="1"/>
    </xf>
    <xf numFmtId="0" fontId="3" fillId="7" borderId="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07269469094845E-2"/>
          <c:y val="3.1300812006247618E-2"/>
          <c:w val="0.85449567522459824"/>
          <c:h val="0.83759606178874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'Aggregated W2E Tool'!$B$141</c:f>
              <c:strCache>
                <c:ptCount val="1"/>
                <c:pt idx="0">
                  <c:v>Capital Cost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'Aggregated W2E Tool'!$C$139:$E$139</c:f>
              <c:strCache>
                <c:ptCount val="3"/>
                <c:pt idx="0">
                  <c:v>AD</c:v>
                </c:pt>
                <c:pt idx="1">
                  <c:v>Gasification</c:v>
                </c:pt>
                <c:pt idx="2">
                  <c:v>Paunch Combustion</c:v>
                </c:pt>
              </c:strCache>
            </c:strRef>
          </c:cat>
          <c:val>
            <c:numRef>
              <c:f>'Aggregated W2E Tool'!$C$141:$E$141</c:f>
              <c:numCache>
                <c:formatCode>"$"#,##0</c:formatCode>
                <c:ptCount val="3"/>
                <c:pt idx="0">
                  <c:v>5200000</c:v>
                </c:pt>
                <c:pt idx="1">
                  <c:v>6200000</c:v>
                </c:pt>
                <c:pt idx="2">
                  <c:v>2400000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D-479A-B0DC-C15D5F7A8216}"/>
            </c:ext>
          </c:extLst>
        </c:ser>
        <c:ser>
          <c:idx val="1"/>
          <c:order val="1"/>
          <c:tx>
            <c:strRef>
              <c:f>'Aggregated W2E Tool'!$B$143</c:f>
              <c:strCache>
                <c:ptCount val="1"/>
                <c:pt idx="0">
                  <c:v>Revenue per Annum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'Aggregated W2E Tool'!$C$139:$E$139</c:f>
              <c:strCache>
                <c:ptCount val="3"/>
                <c:pt idx="0">
                  <c:v>AD</c:v>
                </c:pt>
                <c:pt idx="1">
                  <c:v>Gasification</c:v>
                </c:pt>
                <c:pt idx="2">
                  <c:v>Paunch Combustion</c:v>
                </c:pt>
              </c:strCache>
            </c:strRef>
          </c:cat>
          <c:val>
            <c:numRef>
              <c:f>'Aggregated W2E Tool'!$C$143:$E$143</c:f>
              <c:numCache>
                <c:formatCode>"$"#,##0</c:formatCode>
                <c:ptCount val="3"/>
                <c:pt idx="0">
                  <c:v>600000</c:v>
                </c:pt>
                <c:pt idx="1">
                  <c:v>200000</c:v>
                </c:pt>
                <c:pt idx="2">
                  <c:v>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CD-479A-B0DC-C15D5F7A8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745392"/>
        <c:axId val="124316992"/>
      </c:barChart>
      <c:scatterChart>
        <c:scatterStyle val="lineMarker"/>
        <c:varyColors val="0"/>
        <c:ser>
          <c:idx val="2"/>
          <c:order val="2"/>
          <c:tx>
            <c:strRef>
              <c:f>'Aggregated W2E Tool'!$B$145</c:f>
              <c:strCache>
                <c:ptCount val="1"/>
                <c:pt idx="0">
                  <c:v>Simple Payback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solidFill>
                <a:schemeClr val="tx1"/>
              </a:solidFill>
              <a:ln w="38100">
                <a:solidFill>
                  <a:schemeClr val="tx1"/>
                </a:solidFill>
              </a:ln>
              <a:effectLst/>
            </c:spPr>
          </c:marker>
          <c:xVal>
            <c:strRef>
              <c:f>'Aggregated W2E Tool'!$C$139:$E$139</c:f>
              <c:strCache>
                <c:ptCount val="3"/>
                <c:pt idx="0">
                  <c:v>AD</c:v>
                </c:pt>
                <c:pt idx="1">
                  <c:v>Gasification</c:v>
                </c:pt>
                <c:pt idx="2">
                  <c:v>Paunch Combustion</c:v>
                </c:pt>
              </c:strCache>
            </c:strRef>
          </c:xVal>
          <c:yVal>
            <c:numRef>
              <c:f>'Aggregated W2E Tool'!$C$145:$E$145</c:f>
              <c:numCache>
                <c:formatCode>0.0</c:formatCode>
                <c:ptCount val="3"/>
                <c:pt idx="0">
                  <c:v>8.6666666666666661</c:v>
                </c:pt>
                <c:pt idx="1">
                  <c:v>31</c:v>
                </c:pt>
                <c:pt idx="2">
                  <c:v>2.6666666666666665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CD-479A-B0DC-C15D5F7A8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576448"/>
        <c:axId val="1118090688"/>
      </c:scatterChart>
      <c:catAx>
        <c:axId val="96574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16992"/>
        <c:crosses val="autoZero"/>
        <c:auto val="1"/>
        <c:lblAlgn val="ctr"/>
        <c:lblOffset val="100"/>
        <c:noMultiLvlLbl val="0"/>
      </c:catAx>
      <c:valAx>
        <c:axId val="12431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745392"/>
        <c:crosses val="autoZero"/>
        <c:crossBetween val="between"/>
      </c:valAx>
      <c:valAx>
        <c:axId val="111809068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576448"/>
        <c:crosses val="max"/>
        <c:crossBetween val="midCat"/>
      </c:valAx>
      <c:valAx>
        <c:axId val="82457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8090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71011</xdr:colOff>
      <xdr:row>77</xdr:row>
      <xdr:rowOff>63646</xdr:rowOff>
    </xdr:from>
    <xdr:to>
      <xdr:col>5</xdr:col>
      <xdr:colOff>1322762</xdr:colOff>
      <xdr:row>89</xdr:row>
      <xdr:rowOff>151488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A1EA9F3-8ACD-41A6-905B-5BF46FB8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1225" y="15711860"/>
          <a:ext cx="2768495" cy="2473628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  <xdr:twoCellAnchor>
    <xdr:from>
      <xdr:col>9</xdr:col>
      <xdr:colOff>180396</xdr:colOff>
      <xdr:row>0</xdr:row>
      <xdr:rowOff>0</xdr:rowOff>
    </xdr:from>
    <xdr:to>
      <xdr:col>9</xdr:col>
      <xdr:colOff>1298863</xdr:colOff>
      <xdr:row>3</xdr:row>
      <xdr:rowOff>19050</xdr:rowOff>
    </xdr:to>
    <xdr:pic>
      <xdr:nvPicPr>
        <xdr:cNvPr id="2" name="Picture 2050">
          <a:extLst>
            <a:ext uri="{FF2B5EF4-FFF2-40B4-BE49-F238E27FC236}">
              <a16:creationId xmlns:a16="http://schemas.microsoft.com/office/drawing/2014/main" id="{0A378859-72A9-423E-A197-CC99A90D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3351" y="0"/>
          <a:ext cx="1118467" cy="574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195684</xdr:colOff>
      <xdr:row>88</xdr:row>
      <xdr:rowOff>126794</xdr:rowOff>
    </xdr:from>
    <xdr:to>
      <xdr:col>5</xdr:col>
      <xdr:colOff>1188225</xdr:colOff>
      <xdr:row>97</xdr:row>
      <xdr:rowOff>66074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DF078D8-6F06-435D-BD31-6D61D8967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898" y="17970294"/>
          <a:ext cx="2509285" cy="1717280"/>
        </a:xfrm>
        <a:prstGeom prst="rect">
          <a:avLst/>
        </a:prstGeom>
      </xdr:spPr>
    </xdr:pic>
    <xdr:clientData/>
  </xdr:twoCellAnchor>
  <xdr:twoCellAnchor>
    <xdr:from>
      <xdr:col>1</xdr:col>
      <xdr:colOff>1257151</xdr:colOff>
      <xdr:row>145</xdr:row>
      <xdr:rowOff>72570</xdr:rowOff>
    </xdr:from>
    <xdr:to>
      <xdr:col>5</xdr:col>
      <xdr:colOff>45357</xdr:colOff>
      <xdr:row>169</xdr:row>
      <xdr:rowOff>181428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CF27C3-2589-4A4E-B897-859703FB3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7</xdr:row>
      <xdr:rowOff>167322</xdr:rowOff>
    </xdr:from>
    <xdr:to>
      <xdr:col>6</xdr:col>
      <xdr:colOff>348409</xdr:colOff>
      <xdr:row>21</xdr:row>
      <xdr:rowOff>104362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B9B28A-E19D-4902-B33A-BBBA36C20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640522"/>
          <a:ext cx="5117259" cy="2515140"/>
        </a:xfrm>
        <a:prstGeom prst="rect">
          <a:avLst/>
        </a:prstGeom>
      </xdr:spPr>
    </xdr:pic>
    <xdr:clientData/>
  </xdr:twoCellAnchor>
  <xdr:twoCellAnchor editAs="oneCell">
    <xdr:from>
      <xdr:col>0</xdr:col>
      <xdr:colOff>1296086</xdr:colOff>
      <xdr:row>21</xdr:row>
      <xdr:rowOff>133350</xdr:rowOff>
    </xdr:from>
    <xdr:to>
      <xdr:col>5</xdr:col>
      <xdr:colOff>34339</xdr:colOff>
      <xdr:row>32</xdr:row>
      <xdr:rowOff>167912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787BE1-02CE-4D78-85C6-3BD895B26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6086" y="4184650"/>
          <a:ext cx="3316603" cy="2060212"/>
        </a:xfrm>
        <a:prstGeom prst="rect">
          <a:avLst/>
        </a:prstGeom>
      </xdr:spPr>
    </xdr:pic>
    <xdr:clientData/>
  </xdr:twoCellAnchor>
  <xdr:twoCellAnchor editAs="oneCell">
    <xdr:from>
      <xdr:col>6</xdr:col>
      <xdr:colOff>234950</xdr:colOff>
      <xdr:row>0</xdr:row>
      <xdr:rowOff>22740</xdr:rowOff>
    </xdr:from>
    <xdr:to>
      <xdr:col>14</xdr:col>
      <xdr:colOff>408569</xdr:colOff>
      <xdr:row>19</xdr:row>
      <xdr:rowOff>123071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39D7D5-A9C2-42E8-A11D-108470038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2900" y="22740"/>
          <a:ext cx="5050419" cy="3783331"/>
        </a:xfrm>
        <a:prstGeom prst="rect">
          <a:avLst/>
        </a:prstGeom>
      </xdr:spPr>
    </xdr:pic>
    <xdr:clientData/>
  </xdr:twoCellAnchor>
  <xdr:twoCellAnchor editAs="oneCell">
    <xdr:from>
      <xdr:col>6</xdr:col>
      <xdr:colOff>192742</xdr:colOff>
      <xdr:row>20</xdr:row>
      <xdr:rowOff>38100</xdr:rowOff>
    </xdr:from>
    <xdr:to>
      <xdr:col>14</xdr:col>
      <xdr:colOff>46599</xdr:colOff>
      <xdr:row>39</xdr:row>
      <xdr:rowOff>132571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50FF7B-466F-47EB-BAFD-DB6EF36AA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80692" y="3905250"/>
          <a:ext cx="4730657" cy="35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88A50-CEE0-47AE-A6E7-52216AFD69DA}">
  <sheetPr codeName="Sheet1"/>
  <dimension ref="A1:CC170"/>
  <sheetViews>
    <sheetView tabSelected="1" topLeftCell="A76" zoomScale="70" zoomScaleNormal="70" workbookViewId="0">
      <selection activeCell="C92" sqref="C92"/>
    </sheetView>
  </sheetViews>
  <sheetFormatPr defaultColWidth="8.7265625" defaultRowHeight="14.5" x14ac:dyDescent="0.35"/>
  <cols>
    <col min="1" max="1" width="67.1796875" style="164" customWidth="1"/>
    <col min="2" max="2" width="67.453125" style="164" customWidth="1"/>
    <col min="3" max="3" width="15.54296875" style="164" bestFit="1" customWidth="1"/>
    <col min="4" max="4" width="20.81640625" style="164" customWidth="1"/>
    <col min="5" max="5" width="21.7265625" style="164" customWidth="1"/>
    <col min="6" max="6" width="20.54296875" style="164" customWidth="1"/>
    <col min="7" max="7" width="23.54296875" style="164" customWidth="1"/>
    <col min="8" max="8" width="22.81640625" style="164" hidden="1" customWidth="1"/>
    <col min="9" max="9" width="20.1796875" style="164" hidden="1" customWidth="1"/>
    <col min="10" max="11" width="18.26953125" style="164" customWidth="1"/>
    <col min="12" max="12" width="24.1796875" style="164" hidden="1" customWidth="1"/>
    <col min="13" max="13" width="8.1796875" style="164" hidden="1" customWidth="1"/>
    <col min="14" max="14" width="16.26953125" style="164" hidden="1" customWidth="1"/>
    <col min="15" max="16" width="11.81640625" style="164" hidden="1" customWidth="1"/>
    <col min="17" max="26" width="0" style="164" hidden="1" customWidth="1"/>
    <col min="27" max="16384" width="8.7265625" style="164"/>
  </cols>
  <sheetData>
    <row r="1" spans="1:81" s="166" customFormat="1" ht="18.5" hidden="1" thickBot="1" x14ac:dyDescent="0.45">
      <c r="B1" s="59" t="s">
        <v>75</v>
      </c>
      <c r="C1" s="60"/>
      <c r="D1" s="60"/>
      <c r="E1" s="61" t="s">
        <v>80</v>
      </c>
      <c r="F1" s="60"/>
      <c r="G1" s="169"/>
      <c r="H1" s="169"/>
      <c r="I1" s="169"/>
      <c r="J1" s="170"/>
      <c r="K1" s="171" t="s">
        <v>113</v>
      </c>
      <c r="L1" s="172" t="s">
        <v>112</v>
      </c>
      <c r="S1" s="173"/>
      <c r="AB1" s="166" t="s">
        <v>58</v>
      </c>
      <c r="AD1" s="166" t="s">
        <v>58</v>
      </c>
      <c r="AF1" s="166" t="s">
        <v>58</v>
      </c>
      <c r="AH1" s="166" t="s">
        <v>58</v>
      </c>
      <c r="AI1" s="166" t="e">
        <f>#REF!/4</f>
        <v>#REF!</v>
      </c>
      <c r="AJ1" s="166" t="s">
        <v>59</v>
      </c>
    </row>
    <row r="2" spans="1:81" s="166" customFormat="1" ht="13.4" hidden="1" customHeight="1" thickBot="1" x14ac:dyDescent="0.4">
      <c r="B2" s="19" t="s">
        <v>65</v>
      </c>
      <c r="C2" s="295" t="s">
        <v>66</v>
      </c>
      <c r="D2" s="296"/>
      <c r="E2" s="296"/>
      <c r="F2" s="297"/>
      <c r="G2" s="174"/>
      <c r="H2" s="175" t="s">
        <v>67</v>
      </c>
      <c r="I2" s="175"/>
      <c r="J2" s="176"/>
      <c r="K2" s="177"/>
      <c r="L2" s="178" t="s">
        <v>116</v>
      </c>
      <c r="M2" s="179"/>
      <c r="N2" s="292"/>
      <c r="O2" s="293"/>
      <c r="S2" s="173"/>
      <c r="T2" s="180"/>
      <c r="U2" s="180"/>
      <c r="V2" s="180"/>
      <c r="X2" s="180"/>
      <c r="Y2" s="181" t="s">
        <v>68</v>
      </c>
      <c r="Z2" s="181" t="s">
        <v>69</v>
      </c>
      <c r="AA2" s="180"/>
      <c r="AB2" s="180"/>
      <c r="AC2" s="180"/>
      <c r="AD2" s="180"/>
      <c r="AE2" s="180"/>
      <c r="AF2" s="180"/>
      <c r="AG2" s="180"/>
      <c r="AH2" s="180"/>
      <c r="AI2" s="180" t="e">
        <f>AI3*#REF!</f>
        <v>#REF!</v>
      </c>
      <c r="AJ2" s="180" t="s">
        <v>70</v>
      </c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W2" s="183"/>
      <c r="BX2" s="183"/>
      <c r="BY2" s="183"/>
      <c r="BZ2" s="183"/>
      <c r="CA2" s="183"/>
      <c r="CB2" s="183"/>
      <c r="CC2" s="183"/>
    </row>
    <row r="3" spans="1:81" s="166" customFormat="1" ht="13.4" hidden="1" customHeight="1" thickBot="1" x14ac:dyDescent="0.4">
      <c r="B3" s="19" t="s">
        <v>60</v>
      </c>
      <c r="C3" s="289" t="s">
        <v>61</v>
      </c>
      <c r="D3" s="290"/>
      <c r="E3" s="290"/>
      <c r="F3" s="291"/>
      <c r="G3" s="174"/>
      <c r="H3" s="184">
        <v>43770</v>
      </c>
      <c r="I3" s="184"/>
      <c r="J3" s="176"/>
      <c r="K3" s="185"/>
      <c r="L3" s="186" t="s">
        <v>134</v>
      </c>
      <c r="M3" s="187"/>
      <c r="N3" s="292" t="str">
        <f>N55</f>
        <v>Power cycle efficiency</v>
      </c>
      <c r="O3" s="293"/>
      <c r="S3" s="173"/>
      <c r="T3" s="180"/>
      <c r="U3" s="180"/>
      <c r="V3" s="180"/>
      <c r="W3" s="180"/>
      <c r="X3" s="180"/>
      <c r="Y3" s="188" t="s">
        <v>62</v>
      </c>
      <c r="Z3" s="188" t="s">
        <v>63</v>
      </c>
      <c r="AA3" s="189"/>
      <c r="AB3" s="189"/>
      <c r="AC3" s="189"/>
      <c r="AD3" s="189"/>
      <c r="AE3" s="189"/>
      <c r="AF3" s="189"/>
      <c r="AG3" s="189"/>
      <c r="AH3" s="189"/>
      <c r="AI3" s="189" t="e">
        <f>#REF!*3600</f>
        <v>#REF!</v>
      </c>
      <c r="AJ3" s="294" t="s">
        <v>64</v>
      </c>
      <c r="AK3" s="294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2"/>
      <c r="BP3" s="182"/>
      <c r="BQ3" s="182"/>
      <c r="BR3" s="182"/>
      <c r="BS3" s="182"/>
      <c r="BT3" s="182"/>
      <c r="BU3" s="182"/>
      <c r="BW3" s="183"/>
      <c r="BX3" s="183"/>
      <c r="BY3" s="183"/>
      <c r="BZ3" s="183"/>
      <c r="CA3" s="183"/>
      <c r="CB3" s="183"/>
      <c r="CC3" s="183"/>
    </row>
    <row r="4" spans="1:81" s="195" customFormat="1" ht="17.649999999999999" hidden="1" customHeight="1" thickBot="1" x14ac:dyDescent="0.4">
      <c r="A4" s="165"/>
      <c r="B4" s="120" t="s">
        <v>149</v>
      </c>
      <c r="C4" s="121">
        <v>6000</v>
      </c>
      <c r="D4" s="122" t="s">
        <v>79</v>
      </c>
      <c r="E4" s="123" t="s">
        <v>80</v>
      </c>
      <c r="F4" s="124"/>
      <c r="G4" s="190"/>
      <c r="H4" s="191"/>
      <c r="I4" s="191"/>
      <c r="J4" s="192"/>
      <c r="K4" s="193"/>
      <c r="L4" s="194" t="s">
        <v>137</v>
      </c>
      <c r="S4" s="196" t="s">
        <v>41</v>
      </c>
      <c r="T4" s="164"/>
      <c r="U4" s="164" t="s">
        <v>40</v>
      </c>
      <c r="V4" s="164"/>
      <c r="W4" s="164"/>
    </row>
    <row r="5" spans="1:81" s="165" customFormat="1" ht="17.649999999999999" hidden="1" customHeight="1" thickBot="1" x14ac:dyDescent="0.4">
      <c r="B5" s="62"/>
      <c r="C5" s="34">
        <f>C4*0.355</f>
        <v>2130</v>
      </c>
      <c r="D5" s="63" t="s">
        <v>15</v>
      </c>
      <c r="E5" s="64" t="s">
        <v>82</v>
      </c>
      <c r="F5" s="65">
        <v>0.35499999999999998</v>
      </c>
      <c r="G5" s="197"/>
      <c r="H5" s="165" t="s">
        <v>81</v>
      </c>
      <c r="J5" s="198"/>
      <c r="S5" s="196"/>
      <c r="T5" s="164"/>
      <c r="U5" s="164"/>
      <c r="V5" s="164"/>
      <c r="W5" s="164"/>
    </row>
    <row r="6" spans="1:81" s="167" customFormat="1" ht="32.25" hidden="1" customHeight="1" x14ac:dyDescent="0.35">
      <c r="B6" s="66" t="s">
        <v>0</v>
      </c>
      <c r="C6" s="17" t="s">
        <v>71</v>
      </c>
      <c r="D6" s="18" t="s">
        <v>46</v>
      </c>
      <c r="E6" s="18" t="s">
        <v>8</v>
      </c>
      <c r="F6" s="18" t="s">
        <v>57</v>
      </c>
      <c r="G6" s="199"/>
      <c r="H6" s="199" t="s">
        <v>12</v>
      </c>
      <c r="I6" s="200" t="s">
        <v>11</v>
      </c>
      <c r="J6" s="201" t="s">
        <v>45</v>
      </c>
      <c r="K6" s="202" t="s">
        <v>136</v>
      </c>
      <c r="S6" s="164">
        <v>625</v>
      </c>
      <c r="T6" s="164"/>
      <c r="U6" s="164" t="s">
        <v>22</v>
      </c>
      <c r="V6" s="164">
        <f>C5/(S6*0.355*7)</f>
        <v>1.3714285714285714</v>
      </c>
      <c r="W6" s="164" t="s">
        <v>42</v>
      </c>
    </row>
    <row r="7" spans="1:81" s="165" customFormat="1" hidden="1" x14ac:dyDescent="0.35">
      <c r="B7" s="67" t="s">
        <v>1</v>
      </c>
      <c r="C7" s="39">
        <f>0.071235926*C5</f>
        <v>151.73252238000001</v>
      </c>
      <c r="D7" s="21">
        <f>C7*E7*F7*H7</f>
        <v>5595.5668106640542</v>
      </c>
      <c r="E7" s="83">
        <f>1-0.801</f>
        <v>0.19899999999999995</v>
      </c>
      <c r="F7" s="83">
        <f>AVERAGE(72.1%,88%)</f>
        <v>0.80049999999999999</v>
      </c>
      <c r="G7" s="203"/>
      <c r="H7" s="204">
        <f>AVERAGE(226,237)</f>
        <v>231.5</v>
      </c>
      <c r="I7" s="205">
        <v>270</v>
      </c>
      <c r="J7" s="206">
        <v>1.7</v>
      </c>
      <c r="K7" s="207">
        <v>18.899999999999999</v>
      </c>
      <c r="S7" s="164">
        <v>250</v>
      </c>
      <c r="T7" s="164"/>
      <c r="U7" s="164" t="s">
        <v>38</v>
      </c>
      <c r="V7" s="164">
        <f>325/S7</f>
        <v>1.3</v>
      </c>
      <c r="W7" s="164" t="s">
        <v>42</v>
      </c>
    </row>
    <row r="8" spans="1:81" s="165" customFormat="1" hidden="1" x14ac:dyDescent="0.35">
      <c r="B8" s="67" t="s">
        <v>2</v>
      </c>
      <c r="C8" s="39">
        <f>0.195898797*C5</f>
        <v>417.26443761000002</v>
      </c>
      <c r="D8" s="21">
        <f>C8*E8*F8*H8</f>
        <v>10280.874162163387</v>
      </c>
      <c r="E8" s="23">
        <v>0.125</v>
      </c>
      <c r="F8" s="23">
        <v>0.85699999999999998</v>
      </c>
      <c r="G8" s="208"/>
      <c r="H8" s="204">
        <f>AVERAGE(210,250)</f>
        <v>230</v>
      </c>
      <c r="I8" s="205">
        <v>721</v>
      </c>
      <c r="J8" s="209">
        <v>2.1</v>
      </c>
      <c r="K8" s="210"/>
      <c r="S8" s="164"/>
      <c r="T8" s="164" t="s">
        <v>39</v>
      </c>
      <c r="U8" s="164" t="s">
        <v>39</v>
      </c>
      <c r="V8" s="164" t="s">
        <v>16</v>
      </c>
      <c r="W8" s="164" t="s">
        <v>44</v>
      </c>
    </row>
    <row r="9" spans="1:81" s="165" customFormat="1" hidden="1" x14ac:dyDescent="0.35">
      <c r="B9" s="67" t="s">
        <v>3</v>
      </c>
      <c r="C9" s="39">
        <f>0.035617963*C5</f>
        <v>75.866261190000003</v>
      </c>
      <c r="D9" s="21">
        <f>C9*E9*F9*H9</f>
        <v>2112.57190909674</v>
      </c>
      <c r="E9" s="22">
        <v>7.0000000000000007E-2</v>
      </c>
      <c r="F9" s="22">
        <v>0.6</v>
      </c>
      <c r="G9" s="211"/>
      <c r="H9" s="204">
        <f>AVERAGE(740,586)</f>
        <v>663</v>
      </c>
      <c r="I9" s="205">
        <v>1000</v>
      </c>
      <c r="J9" s="209">
        <v>3</v>
      </c>
      <c r="K9" s="210"/>
      <c r="S9" s="164" t="s">
        <v>43</v>
      </c>
      <c r="T9" s="164">
        <v>4000</v>
      </c>
      <c r="U9" s="212">
        <f>T9*$V$6*$V$7</f>
        <v>7131.4285714285716</v>
      </c>
      <c r="V9" s="212">
        <f>U9/47</f>
        <v>151.73252279635258</v>
      </c>
      <c r="W9" s="164">
        <f>V9/$C$5</f>
        <v>7.12359261954707E-2</v>
      </c>
    </row>
    <row r="10" spans="1:81" s="165" customFormat="1" hidden="1" x14ac:dyDescent="0.35">
      <c r="B10" s="69" t="s">
        <v>4</v>
      </c>
      <c r="C10" s="39">
        <f>991/6400*C4/52</f>
        <v>17.86658653846154</v>
      </c>
      <c r="D10" s="21">
        <f t="shared" ref="D10:D15" si="0">C10*E10*F10*H10</f>
        <v>930.49182692307704</v>
      </c>
      <c r="E10" s="22">
        <v>0.2</v>
      </c>
      <c r="F10" s="22">
        <v>0.7</v>
      </c>
      <c r="G10" s="211"/>
      <c r="H10" s="204">
        <v>372</v>
      </c>
      <c r="I10" s="205"/>
      <c r="J10" s="209">
        <f>J15</f>
        <v>4.6500000000000004</v>
      </c>
      <c r="K10" s="210"/>
    </row>
    <row r="11" spans="1:81" s="165" customFormat="1" hidden="1" x14ac:dyDescent="0.35">
      <c r="B11" s="69" t="s">
        <v>5</v>
      </c>
      <c r="C11" s="39">
        <f>687/6400*C4/52</f>
        <v>12.385817307692308</v>
      </c>
      <c r="D11" s="21">
        <f t="shared" si="0"/>
        <v>502.14237132061288</v>
      </c>
      <c r="E11" s="22">
        <f>E7</f>
        <v>0.19899999999999995</v>
      </c>
      <c r="F11" s="22">
        <f>F7</f>
        <v>0.80049999999999999</v>
      </c>
      <c r="G11" s="211"/>
      <c r="H11" s="204">
        <f>AVERAGE(245,264)</f>
        <v>254.5</v>
      </c>
      <c r="I11" s="205">
        <f>I7</f>
        <v>270</v>
      </c>
      <c r="J11" s="209">
        <f>J7</f>
        <v>1.7</v>
      </c>
      <c r="K11" s="210"/>
    </row>
    <row r="12" spans="1:81" s="165" customFormat="1" hidden="1" x14ac:dyDescent="0.35">
      <c r="B12" s="67" t="s">
        <v>83</v>
      </c>
      <c r="C12" s="20">
        <f>598/52/(1500*5)*C4</f>
        <v>9.2000000000000011</v>
      </c>
      <c r="D12" s="21">
        <f>C12*E12*F12*H12</f>
        <v>0</v>
      </c>
      <c r="E12" s="22">
        <v>0.98</v>
      </c>
      <c r="F12" s="22">
        <v>0</v>
      </c>
      <c r="G12" s="211"/>
      <c r="H12" s="205">
        <v>0</v>
      </c>
      <c r="I12" s="205"/>
      <c r="J12" s="209">
        <v>35.700000000000003</v>
      </c>
      <c r="K12" s="210"/>
    </row>
    <row r="13" spans="1:81" s="165" customFormat="1" hidden="1" x14ac:dyDescent="0.35">
      <c r="B13" s="67" t="s">
        <v>84</v>
      </c>
      <c r="C13" s="20">
        <f>432/52/(1500*5)*C4</f>
        <v>6.6461538461538465</v>
      </c>
      <c r="D13" s="21">
        <f>C13*E13*F13*H13</f>
        <v>59.815384615384623</v>
      </c>
      <c r="E13" s="22">
        <v>0.9</v>
      </c>
      <c r="F13" s="22">
        <v>0.2</v>
      </c>
      <c r="G13" s="211"/>
      <c r="H13" s="205">
        <v>50</v>
      </c>
      <c r="I13" s="205"/>
      <c r="J13" s="209">
        <v>16.75</v>
      </c>
      <c r="K13" s="210"/>
    </row>
    <row r="14" spans="1:81" s="165" customFormat="1" hidden="1" x14ac:dyDescent="0.35">
      <c r="B14" s="67" t="s">
        <v>85</v>
      </c>
      <c r="C14" s="20">
        <f>174/52/(1500*5)*C4</f>
        <v>2.6769230769230772</v>
      </c>
      <c r="D14" s="21">
        <f t="shared" si="0"/>
        <v>7.2276923076923092</v>
      </c>
      <c r="E14" s="22">
        <v>0.9</v>
      </c>
      <c r="F14" s="22">
        <v>0.3</v>
      </c>
      <c r="G14" s="211"/>
      <c r="H14" s="205">
        <v>10</v>
      </c>
      <c r="I14" s="205"/>
      <c r="J14" s="209">
        <v>18.600000000000001</v>
      </c>
      <c r="K14" s="210"/>
    </row>
    <row r="15" spans="1:81" s="165" customFormat="1" hidden="1" x14ac:dyDescent="0.35">
      <c r="B15" s="67" t="s">
        <v>86</v>
      </c>
      <c r="C15" s="20">
        <f>200/52/(1500*5)*C4</f>
        <v>3.0769230769230771</v>
      </c>
      <c r="D15" s="21">
        <f t="shared" si="0"/>
        <v>436.80000000000007</v>
      </c>
      <c r="E15" s="22">
        <f>E23</f>
        <v>0.26</v>
      </c>
      <c r="F15" s="22">
        <f>F23</f>
        <v>0.91</v>
      </c>
      <c r="G15" s="211"/>
      <c r="H15" s="205">
        <v>600</v>
      </c>
      <c r="I15" s="205"/>
      <c r="J15" s="209">
        <v>4.6500000000000004</v>
      </c>
      <c r="K15" s="210"/>
    </row>
    <row r="16" spans="1:81" s="165" customFormat="1" ht="15" hidden="1" thickBot="1" x14ac:dyDescent="0.4">
      <c r="B16" s="125" t="s">
        <v>72</v>
      </c>
      <c r="C16" s="126">
        <f>SUM(C7:C15)</f>
        <v>696.71562502615404</v>
      </c>
      <c r="D16" s="127">
        <f>SUM(D7:D15)</f>
        <v>19925.490157090946</v>
      </c>
      <c r="E16" s="128">
        <f>SUMPRODUCT(C7:C15,E7:E15)/C16</f>
        <v>0.16062267746135503</v>
      </c>
      <c r="F16" s="128">
        <f>SUMPRODUCT(E7:E15,F7:F15,C7:C15)/(E16*C16)</f>
        <v>0.70752735710117631</v>
      </c>
      <c r="G16" s="213"/>
      <c r="H16" s="214"/>
      <c r="I16" s="214"/>
      <c r="J16" s="215">
        <f>(SUMPRODUCT(C7:C9,J7:J9)+SUMPRODUCT(C10:C15,J10:J15))/(C16)</f>
        <v>2.8272603270689061</v>
      </c>
      <c r="K16" s="210"/>
    </row>
    <row r="17" spans="2:16" s="165" customFormat="1" ht="15" hidden="1" thickBot="1" x14ac:dyDescent="0.4">
      <c r="B17" s="125" t="s">
        <v>155</v>
      </c>
      <c r="C17" s="126">
        <f>SUM(C7:C11)</f>
        <v>675.11562502615391</v>
      </c>
      <c r="D17" s="127">
        <f>SUM(D7:D11)</f>
        <v>19421.64708016787</v>
      </c>
      <c r="E17" s="128">
        <f>SUMPRODUCT(C7:C11,E7:E11)/C17</f>
        <v>0.13879335097075124</v>
      </c>
      <c r="F17" s="128">
        <f>SUMPRODUCT(E7:E11,F7:F11,C7:C11)/(E17*C17)</f>
        <v>0.81675403810974267</v>
      </c>
      <c r="G17" s="213"/>
      <c r="H17" s="214" t="s">
        <v>163</v>
      </c>
      <c r="I17" s="214"/>
      <c r="J17" s="215">
        <f>(SUMPRODUCT(C7:C11,J7:J11))/(C17)</f>
        <v>2.1713834683757067</v>
      </c>
      <c r="K17" s="210"/>
    </row>
    <row r="18" spans="2:16" s="165" customFormat="1" ht="15" hidden="1" thickBot="1" x14ac:dyDescent="0.4">
      <c r="B18" s="125" t="s">
        <v>156</v>
      </c>
      <c r="C18" s="126">
        <f>SUM(C12:C15)</f>
        <v>21.6</v>
      </c>
      <c r="D18" s="141"/>
      <c r="E18" s="128">
        <f>SUMPRODUCT(C12:C15,E12:E15)/C18</f>
        <v>0.84290598290598295</v>
      </c>
      <c r="F18" s="128">
        <f>SUMPRODUCT(E12:E15,F12:F15,C12:C15)/(E18*C18)</f>
        <v>0.14538971134996284</v>
      </c>
      <c r="G18" s="216"/>
      <c r="H18" s="210"/>
      <c r="I18" s="210"/>
      <c r="J18" s="215">
        <f>(SUMPRODUCT(C12:C15,J12:J15))/(C18)</f>
        <v>23.32692307692308</v>
      </c>
      <c r="K18" s="210"/>
    </row>
    <row r="19" spans="2:16" s="167" customFormat="1" hidden="1" x14ac:dyDescent="0.35">
      <c r="B19" s="131" t="s">
        <v>6</v>
      </c>
      <c r="C19" s="132">
        <v>20000</v>
      </c>
      <c r="D19" s="133" t="s">
        <v>78</v>
      </c>
      <c r="E19" s="134"/>
      <c r="F19" s="134"/>
      <c r="G19" s="217"/>
      <c r="H19" s="217"/>
      <c r="I19" s="217"/>
      <c r="J19" s="218"/>
      <c r="K19" s="219"/>
    </row>
    <row r="20" spans="2:16" s="167" customFormat="1" ht="12" hidden="1" customHeight="1" x14ac:dyDescent="0.35">
      <c r="B20" s="66" t="s">
        <v>80</v>
      </c>
      <c r="C20" s="33" t="s">
        <v>71</v>
      </c>
      <c r="D20" s="33" t="s">
        <v>46</v>
      </c>
      <c r="E20" s="33" t="s">
        <v>8</v>
      </c>
      <c r="F20" s="33" t="s">
        <v>9</v>
      </c>
      <c r="G20" s="220"/>
      <c r="H20" s="220" t="s">
        <v>10</v>
      </c>
      <c r="I20" s="220" t="s">
        <v>11</v>
      </c>
      <c r="J20" s="221" t="s">
        <v>45</v>
      </c>
      <c r="K20" s="202" t="s">
        <v>122</v>
      </c>
      <c r="L20" s="164">
        <v>625</v>
      </c>
      <c r="M20" s="164"/>
      <c r="N20" s="164" t="s">
        <v>22</v>
      </c>
      <c r="O20" s="164">
        <f>C19/(L20*0.355*7)</f>
        <v>12.877263581488934</v>
      </c>
      <c r="P20" s="164" t="s">
        <v>42</v>
      </c>
    </row>
    <row r="21" spans="2:16" s="165" customFormat="1" ht="40" hidden="1" customHeight="1" x14ac:dyDescent="0.35">
      <c r="B21" s="70" t="s">
        <v>140</v>
      </c>
      <c r="C21" s="93">
        <f>L22*C19</f>
        <v>115.54096310193871</v>
      </c>
      <c r="D21" s="26">
        <f t="shared" ref="D21:D40" si="1">C21*E21*F21*H21</f>
        <v>0</v>
      </c>
      <c r="E21" s="27">
        <v>0.63</v>
      </c>
      <c r="F21" s="28">
        <v>0.83199999999999996</v>
      </c>
      <c r="G21" s="208"/>
      <c r="H21" s="205"/>
      <c r="I21" s="205">
        <v>550</v>
      </c>
      <c r="J21" s="222">
        <v>10.47</v>
      </c>
      <c r="K21" s="216">
        <f>C21/C41</f>
        <v>0.33452840096329689</v>
      </c>
      <c r="L21" s="165">
        <f>0.56/52</f>
        <v>1.0769230769230771E-2</v>
      </c>
      <c r="M21" s="165" t="s">
        <v>138</v>
      </c>
    </row>
    <row r="22" spans="2:16" s="165" customFormat="1" ht="40" hidden="1" customHeight="1" x14ac:dyDescent="0.35">
      <c r="B22" s="87" t="str">
        <f>B29</f>
        <v>Segregated Wood [dry]</v>
      </c>
      <c r="C22" s="88">
        <f>0.01*C21</f>
        <v>1.1554096310193871</v>
      </c>
      <c r="D22" s="90">
        <f>D29</f>
        <v>0</v>
      </c>
      <c r="E22" s="90">
        <f t="shared" ref="E22:J22" si="2">E29</f>
        <v>0.92300000000000004</v>
      </c>
      <c r="F22" s="89">
        <f t="shared" si="2"/>
        <v>0.81899999999999995</v>
      </c>
      <c r="G22" s="203"/>
      <c r="H22" s="223">
        <f t="shared" si="2"/>
        <v>0</v>
      </c>
      <c r="I22" s="223">
        <f t="shared" si="2"/>
        <v>550</v>
      </c>
      <c r="J22" s="224">
        <f t="shared" si="2"/>
        <v>17.5</v>
      </c>
      <c r="K22" s="216"/>
      <c r="L22" s="165">
        <f>7390000/24600000/52</f>
        <v>5.7770481550969361E-3</v>
      </c>
      <c r="M22" s="165" t="s">
        <v>139</v>
      </c>
    </row>
    <row r="23" spans="2:16" s="165" customFormat="1" ht="40" hidden="1" customHeight="1" x14ac:dyDescent="0.35">
      <c r="B23" s="71" t="s">
        <v>76</v>
      </c>
      <c r="C23" s="40">
        <f>(0.35+0.165)*C21</f>
        <v>59.503595997498437</v>
      </c>
      <c r="D23" s="26">
        <f t="shared" si="1"/>
        <v>8447.1304878048777</v>
      </c>
      <c r="E23" s="27">
        <v>0.26</v>
      </c>
      <c r="F23" s="27">
        <v>0.91</v>
      </c>
      <c r="G23" s="225"/>
      <c r="H23" s="205">
        <f>H15</f>
        <v>600</v>
      </c>
      <c r="I23" s="205">
        <v>700</v>
      </c>
      <c r="J23" s="222">
        <v>4.6500000000000004</v>
      </c>
      <c r="K23" s="216" t="s">
        <v>80</v>
      </c>
      <c r="L23" s="165" t="s">
        <v>120</v>
      </c>
      <c r="M23" s="165">
        <f>5.9502/9.4</f>
        <v>0.6329999999999999</v>
      </c>
    </row>
    <row r="24" spans="2:16" s="165" customFormat="1" ht="18" hidden="1" customHeight="1" x14ac:dyDescent="0.35">
      <c r="B24" s="71" t="s">
        <v>119</v>
      </c>
      <c r="C24" s="47">
        <f>(1-0.04-0.28)*C21</f>
        <v>78.567854909318314</v>
      </c>
      <c r="D24" s="26"/>
      <c r="E24" s="29"/>
      <c r="F24" s="29">
        <v>0.6</v>
      </c>
      <c r="G24" s="211"/>
      <c r="H24" s="205"/>
      <c r="I24" s="205"/>
      <c r="J24" s="222"/>
      <c r="K24" s="216"/>
    </row>
    <row r="25" spans="2:16" s="165" customFormat="1" ht="17.25" hidden="1" customHeight="1" x14ac:dyDescent="0.35">
      <c r="B25" s="71" t="s">
        <v>144</v>
      </c>
      <c r="C25" s="40">
        <f>C21-C24</f>
        <v>36.973108192620401</v>
      </c>
      <c r="D25" s="26"/>
      <c r="E25" s="27"/>
      <c r="F25" s="28"/>
      <c r="G25" s="208"/>
      <c r="H25" s="205"/>
      <c r="I25" s="205"/>
      <c r="J25" s="222"/>
      <c r="K25" s="216"/>
    </row>
    <row r="26" spans="2:16" s="165" customFormat="1" ht="13.9" hidden="1" customHeight="1" x14ac:dyDescent="0.35">
      <c r="B26" s="71" t="s">
        <v>124</v>
      </c>
      <c r="C26" s="94">
        <f>(0.255+0.08+0.086)*C21/52</f>
        <v>0.93543741280608095</v>
      </c>
      <c r="D26" s="71"/>
      <c r="E26" s="71"/>
      <c r="F26" s="71"/>
      <c r="G26" s="226"/>
      <c r="H26" s="226"/>
      <c r="I26" s="226"/>
      <c r="J26" s="227">
        <v>15</v>
      </c>
      <c r="K26" s="228" t="e">
        <f>C26/#REF!</f>
        <v>#REF!</v>
      </c>
    </row>
    <row r="27" spans="2:16" s="165" customFormat="1" ht="31.9" hidden="1" customHeight="1" x14ac:dyDescent="0.35">
      <c r="B27" s="71" t="s">
        <v>126</v>
      </c>
      <c r="C27" s="71" t="e">
        <f>(0.08+0.086)*#REF!/52+(0.017+0.046+0.012+0.012)*#REF!+(0.125+0.04+0.015+0.035)*C41+(0.06*C14)</f>
        <v>#REF!</v>
      </c>
      <c r="D27" s="71"/>
      <c r="E27" s="95">
        <f>1-0.2672</f>
        <v>0.73280000000000001</v>
      </c>
      <c r="F27" s="71"/>
      <c r="G27" s="226"/>
      <c r="H27" s="226"/>
      <c r="I27" s="226"/>
      <c r="J27" s="227">
        <v>13.43</v>
      </c>
      <c r="K27" s="228" t="e">
        <f>C27/#REF!</f>
        <v>#REF!</v>
      </c>
    </row>
    <row r="28" spans="2:16" s="165" customFormat="1" ht="13.9" hidden="1" customHeight="1" x14ac:dyDescent="0.35">
      <c r="B28" s="72" t="s">
        <v>141</v>
      </c>
      <c r="C28" s="45">
        <f>C21/7.39*6.71</f>
        <v>104.90931832395248</v>
      </c>
      <c r="D28" s="42"/>
      <c r="E28" s="43">
        <f>AVERAGE(E29:E32)</f>
        <v>0.87949999999999995</v>
      </c>
      <c r="F28" s="43"/>
      <c r="G28" s="225"/>
      <c r="H28" s="205"/>
      <c r="I28" s="205"/>
      <c r="J28" s="222"/>
      <c r="K28" s="216">
        <f>C28/C41</f>
        <v>0.30374635594908289</v>
      </c>
    </row>
    <row r="29" spans="2:16" s="165" customFormat="1" ht="13.9" hidden="1" customHeight="1" x14ac:dyDescent="0.35">
      <c r="B29" s="96" t="s">
        <v>135</v>
      </c>
      <c r="C29" s="84">
        <f>0.06*C28</f>
        <v>6.2945590994371488</v>
      </c>
      <c r="D29" s="85">
        <f t="shared" si="1"/>
        <v>0</v>
      </c>
      <c r="E29" s="86">
        <f>1-0.077</f>
        <v>0.92300000000000004</v>
      </c>
      <c r="F29" s="86">
        <v>0.81899999999999995</v>
      </c>
      <c r="G29" s="229"/>
      <c r="H29" s="230"/>
      <c r="I29" s="230">
        <v>550</v>
      </c>
      <c r="J29" s="231">
        <v>17.5</v>
      </c>
      <c r="K29" s="216"/>
    </row>
    <row r="30" spans="2:16" s="165" customFormat="1" ht="13.9" hidden="1" customHeight="1" x14ac:dyDescent="0.35">
      <c r="B30" s="97" t="s">
        <v>119</v>
      </c>
      <c r="C30" s="41">
        <f>C28*(0.03+0.02+0.06)</f>
        <v>11.540025015634772</v>
      </c>
      <c r="D30" s="42"/>
      <c r="E30" s="44"/>
      <c r="F30" s="44"/>
      <c r="G30" s="208"/>
      <c r="H30" s="205"/>
      <c r="I30" s="205"/>
      <c r="J30" s="222"/>
      <c r="K30" s="216"/>
    </row>
    <row r="31" spans="2:16" s="165" customFormat="1" ht="13.9" hidden="1" customHeight="1" x14ac:dyDescent="0.35">
      <c r="B31" s="97" t="s">
        <v>143</v>
      </c>
      <c r="C31" s="41">
        <f>0.11*C28</f>
        <v>11.540025015634772</v>
      </c>
      <c r="D31" s="42"/>
      <c r="E31" s="44"/>
      <c r="F31" s="44"/>
      <c r="G31" s="208"/>
      <c r="H31" s="205"/>
      <c r="I31" s="205"/>
      <c r="J31" s="222"/>
      <c r="K31" s="216"/>
    </row>
    <row r="32" spans="2:16" s="165" customFormat="1" ht="13.9" hidden="1" customHeight="1" x14ac:dyDescent="0.35">
      <c r="B32" s="97" t="str">
        <f>B25</f>
        <v>Inerts i.e. polymer, bricks, masonry, etc.</v>
      </c>
      <c r="C32" s="41">
        <f>0.89*C28</f>
        <v>93.369293308317708</v>
      </c>
      <c r="D32" s="42">
        <f t="shared" ref="D32" si="3">C32*E32*F32*H32</f>
        <v>0</v>
      </c>
      <c r="E32" s="44">
        <v>0.83599999999999997</v>
      </c>
      <c r="F32" s="44">
        <v>0.84299999999999997</v>
      </c>
      <c r="G32" s="208"/>
      <c r="H32" s="205"/>
      <c r="I32" s="205">
        <v>550</v>
      </c>
      <c r="J32" s="222" t="s">
        <v>80</v>
      </c>
      <c r="K32" s="216"/>
    </row>
    <row r="33" spans="1:16" s="165" customFormat="1" ht="13.9" hidden="1" customHeight="1" x14ac:dyDescent="0.35">
      <c r="B33" s="73" t="s">
        <v>142</v>
      </c>
      <c r="C33" s="46">
        <f>C21/7.39*7.63</f>
        <v>119.29330831769856</v>
      </c>
      <c r="D33" s="30"/>
      <c r="E33" s="43">
        <f>AVERAGE(E34:E37)</f>
        <v>0.64400000000000002</v>
      </c>
      <c r="F33" s="31"/>
      <c r="G33" s="225"/>
      <c r="H33" s="205"/>
      <c r="I33" s="205"/>
      <c r="J33" s="222"/>
      <c r="K33" s="216">
        <f>C33/C41</f>
        <v>0.34539265214478421</v>
      </c>
    </row>
    <row r="34" spans="1:16" s="165" customFormat="1" ht="13.9" hidden="1" customHeight="1" x14ac:dyDescent="0.35">
      <c r="B34" s="98" t="s">
        <v>7</v>
      </c>
      <c r="C34" s="88">
        <f>0.125*C33</f>
        <v>14.91166353971232</v>
      </c>
      <c r="D34" s="91">
        <f t="shared" ref="D34" si="4">C34*E34*F34*H34</f>
        <v>0</v>
      </c>
      <c r="E34" s="92">
        <v>0.83599999999999997</v>
      </c>
      <c r="F34" s="92">
        <v>0.84299999999999997</v>
      </c>
      <c r="G34" s="229"/>
      <c r="H34" s="230"/>
      <c r="I34" s="230">
        <v>550</v>
      </c>
      <c r="J34" s="231">
        <v>12.2</v>
      </c>
      <c r="K34" s="210"/>
    </row>
    <row r="35" spans="1:16" s="165" customFormat="1" ht="13.9" hidden="1" customHeight="1" x14ac:dyDescent="0.35">
      <c r="B35" s="99" t="s">
        <v>76</v>
      </c>
      <c r="C35" s="40">
        <f>C33*(0.215+0.04)</f>
        <v>30.419793621013135</v>
      </c>
      <c r="D35" s="30">
        <f t="shared" si="1"/>
        <v>4318.3939024390256</v>
      </c>
      <c r="E35" s="32">
        <f>E23</f>
        <v>0.26</v>
      </c>
      <c r="F35" s="32">
        <f>F23</f>
        <v>0.91</v>
      </c>
      <c r="G35" s="208"/>
      <c r="H35" s="232">
        <f>H23</f>
        <v>600</v>
      </c>
      <c r="I35" s="232">
        <f>I23</f>
        <v>700</v>
      </c>
      <c r="J35" s="233">
        <f>J23</f>
        <v>4.6500000000000004</v>
      </c>
      <c r="K35" s="210"/>
    </row>
    <row r="36" spans="1:16" s="165" customFormat="1" ht="13.9" hidden="1" customHeight="1" x14ac:dyDescent="0.35">
      <c r="B36" s="99" t="s">
        <v>119</v>
      </c>
      <c r="C36" s="40">
        <f>C33-C37</f>
        <v>74.558317698561609</v>
      </c>
      <c r="D36" s="30"/>
      <c r="E36" s="32"/>
      <c r="F36" s="32"/>
      <c r="G36" s="208"/>
      <c r="H36" s="205"/>
      <c r="I36" s="205"/>
      <c r="J36" s="222"/>
      <c r="K36" s="210"/>
    </row>
    <row r="37" spans="1:16" s="165" customFormat="1" ht="13.9" hidden="1" customHeight="1" x14ac:dyDescent="0.35">
      <c r="B37" s="99" t="str">
        <f>B25</f>
        <v>Inerts i.e. polymer, bricks, masonry, etc.</v>
      </c>
      <c r="C37" s="40">
        <f>0.375*C33</f>
        <v>44.734990619136958</v>
      </c>
      <c r="D37" s="30">
        <f t="shared" ref="D37" si="5">C37*E37*F37*H37</f>
        <v>0</v>
      </c>
      <c r="E37" s="32">
        <v>0.83599999999999997</v>
      </c>
      <c r="F37" s="32">
        <v>0.84299999999999997</v>
      </c>
      <c r="G37" s="208"/>
      <c r="H37" s="205"/>
      <c r="I37" s="205">
        <v>550</v>
      </c>
      <c r="J37" s="222" t="s">
        <v>80</v>
      </c>
      <c r="K37" s="210"/>
    </row>
    <row r="38" spans="1:16" s="165" customFormat="1" ht="13.9" hidden="1" customHeight="1" x14ac:dyDescent="0.35">
      <c r="B38" s="99" t="s">
        <v>121</v>
      </c>
      <c r="C38" s="40">
        <f>0.219*C19/52</f>
        <v>84.230769230769226</v>
      </c>
      <c r="D38" s="30"/>
      <c r="E38" s="32"/>
      <c r="F38" s="32"/>
      <c r="G38" s="208"/>
      <c r="H38" s="205"/>
      <c r="I38" s="205"/>
      <c r="J38" s="222">
        <v>0</v>
      </c>
      <c r="K38" s="210"/>
    </row>
    <row r="39" spans="1:16" s="165" customFormat="1" ht="40" hidden="1" customHeight="1" x14ac:dyDescent="0.35">
      <c r="B39" s="67" t="s">
        <v>162</v>
      </c>
      <c r="C39" s="152">
        <f>88000/6000000/52*C19</f>
        <v>5.6410256410256405</v>
      </c>
      <c r="D39" s="21">
        <f t="shared" ref="D39" si="6">C39*E39*F39*H39</f>
        <v>0</v>
      </c>
      <c r="E39" s="23">
        <v>0.99</v>
      </c>
      <c r="F39" s="23">
        <v>0.2</v>
      </c>
      <c r="G39" s="208"/>
      <c r="H39" s="205">
        <v>0</v>
      </c>
      <c r="I39" s="205">
        <v>300</v>
      </c>
      <c r="J39" s="222">
        <v>31.4</v>
      </c>
      <c r="K39" s="216"/>
    </row>
    <row r="40" spans="1:16" s="234" customFormat="1" ht="17.649999999999999" hidden="1" customHeight="1" thickBot="1" x14ac:dyDescent="0.4">
      <c r="A40" s="165"/>
      <c r="B40" s="68" t="s">
        <v>13</v>
      </c>
      <c r="C40" s="35">
        <v>0</v>
      </c>
      <c r="D40" s="21">
        <f t="shared" si="1"/>
        <v>0</v>
      </c>
      <c r="E40" s="23">
        <v>8.3500000000000005E-2</v>
      </c>
      <c r="F40" s="23">
        <v>0.78500000000000003</v>
      </c>
      <c r="G40" s="208"/>
      <c r="H40" s="205">
        <v>1010</v>
      </c>
      <c r="I40" s="205">
        <v>1000</v>
      </c>
      <c r="J40" s="222"/>
      <c r="K40" s="210"/>
      <c r="L40" s="234" t="s">
        <v>117</v>
      </c>
      <c r="M40" s="235">
        <f>(C21+C28+C33)*52/C19</f>
        <v>0.88333333333333341</v>
      </c>
      <c r="N40" s="234" t="s">
        <v>118</v>
      </c>
      <c r="O40" s="234" t="s">
        <v>123</v>
      </c>
    </row>
    <row r="41" spans="1:16" s="167" customFormat="1" ht="14.25" hidden="1" customHeight="1" thickBot="1" x14ac:dyDescent="0.4">
      <c r="B41" s="135" t="s">
        <v>150</v>
      </c>
      <c r="C41" s="136">
        <f>C21+C28+C33+C39+C40</f>
        <v>345.38461538461542</v>
      </c>
      <c r="D41" s="137">
        <f>D23+D35</f>
        <v>12765.524390243903</v>
      </c>
      <c r="E41" s="149">
        <f>(C21*E21+C28*E28+C33*E33)/(C41)</f>
        <v>0.70033068064533655</v>
      </c>
      <c r="F41" s="138"/>
      <c r="G41" s="236"/>
      <c r="H41" s="236"/>
      <c r="I41" s="236"/>
      <c r="J41" s="237"/>
      <c r="K41" s="202"/>
      <c r="L41" s="164"/>
      <c r="M41" s="164"/>
      <c r="N41" s="164"/>
      <c r="O41" s="164"/>
      <c r="P41" s="164"/>
    </row>
    <row r="42" spans="1:16" s="167" customFormat="1" ht="14.5" hidden="1" customHeight="1" thickBot="1" x14ac:dyDescent="0.4">
      <c r="B42" s="135" t="s">
        <v>157</v>
      </c>
      <c r="C42" s="136">
        <f>C23+C35</f>
        <v>89.923389618511578</v>
      </c>
      <c r="D42" s="137">
        <f>D41</f>
        <v>12765.524390243903</v>
      </c>
      <c r="E42" s="148">
        <f>E23</f>
        <v>0.26</v>
      </c>
      <c r="F42" s="148">
        <f t="shared" ref="F42" si="7">F23</f>
        <v>0.91</v>
      </c>
      <c r="G42" s="238"/>
      <c r="H42" s="238"/>
      <c r="I42" s="238"/>
      <c r="J42" s="222">
        <f>J23</f>
        <v>4.6500000000000004</v>
      </c>
      <c r="K42" s="202"/>
      <c r="L42" s="164"/>
      <c r="M42" s="164"/>
      <c r="N42" s="164"/>
      <c r="O42" s="164"/>
      <c r="P42" s="164"/>
    </row>
    <row r="43" spans="1:16" s="165" customFormat="1" ht="14.5" hidden="1" customHeight="1" thickBot="1" x14ac:dyDescent="0.4">
      <c r="B43" s="144" t="s">
        <v>158</v>
      </c>
      <c r="C43" s="145">
        <f>12/21.7*(C33+C28+C21)</f>
        <v>187.87663948954273</v>
      </c>
      <c r="D43" s="100"/>
      <c r="E43" s="101"/>
      <c r="F43" s="101"/>
      <c r="G43" s="208"/>
      <c r="H43" s="205"/>
      <c r="I43" s="205"/>
      <c r="J43" s="222">
        <v>15</v>
      </c>
      <c r="K43" s="228">
        <f>C43/C41</f>
        <v>0.54396354417907689</v>
      </c>
    </row>
    <row r="44" spans="1:16" s="165" customFormat="1" ht="14.5" hidden="1" customHeight="1" thickBot="1" x14ac:dyDescent="0.4">
      <c r="B44" s="143" t="s">
        <v>159</v>
      </c>
      <c r="C44" s="142">
        <f>7/21.7*(C21+C28+C33)</f>
        <v>109.59470636889992</v>
      </c>
      <c r="D44" s="100"/>
      <c r="E44" s="101">
        <f>E27</f>
        <v>0.73280000000000001</v>
      </c>
      <c r="F44" s="101"/>
      <c r="G44" s="208"/>
      <c r="H44" s="205"/>
      <c r="I44" s="205"/>
      <c r="J44" s="222">
        <v>13.43</v>
      </c>
      <c r="K44" s="228">
        <f>C44/C41</f>
        <v>0.31731206743779483</v>
      </c>
    </row>
    <row r="45" spans="1:16" s="165" customFormat="1" ht="14.5" hidden="1" customHeight="1" thickBot="1" x14ac:dyDescent="0.4">
      <c r="B45" s="143" t="s">
        <v>165</v>
      </c>
      <c r="C45" s="142">
        <f>(C22+C29+C34)</f>
        <v>22.361632270168855</v>
      </c>
      <c r="D45" s="100"/>
      <c r="E45" s="101">
        <f>E28</f>
        <v>0.87949999999999995</v>
      </c>
      <c r="F45" s="101"/>
      <c r="G45" s="208"/>
      <c r="H45" s="205"/>
      <c r="I45" s="205"/>
      <c r="J45" s="222">
        <v>13.43</v>
      </c>
      <c r="K45" s="228">
        <f>C45/C42</f>
        <v>0.24867425888898545</v>
      </c>
    </row>
    <row r="46" spans="1:16" s="165" customFormat="1" ht="14.5" hidden="1" customHeight="1" x14ac:dyDescent="0.35">
      <c r="B46" s="129" t="s">
        <v>151</v>
      </c>
      <c r="C46" s="130">
        <f>C41+C16</f>
        <v>1042.1002404107694</v>
      </c>
      <c r="D46" s="140">
        <f>D41+D16</f>
        <v>32691.014547334849</v>
      </c>
      <c r="E46" s="150">
        <f>(C41*E41+C16*E16)/(C46)</f>
        <v>0.33949879117016812</v>
      </c>
      <c r="F46" s="24"/>
      <c r="G46" s="239"/>
      <c r="H46" s="239"/>
      <c r="I46" s="239"/>
      <c r="J46" s="240"/>
      <c r="K46" s="239"/>
    </row>
    <row r="47" spans="1:16" ht="14.5" hidden="1" customHeight="1" x14ac:dyDescent="0.35">
      <c r="B47" s="74" t="s">
        <v>152</v>
      </c>
      <c r="C47" s="50">
        <f>C46*52</f>
        <v>54189.212501360009</v>
      </c>
      <c r="D47" s="140">
        <f>D46*52</f>
        <v>1699932.7564614122</v>
      </c>
      <c r="E47" s="150">
        <f t="shared" ref="E47" si="8">(C41*E41+C16*E16)/(C47/52)</f>
        <v>0.33949879117016812</v>
      </c>
      <c r="F47" s="14"/>
      <c r="G47" s="165"/>
      <c r="H47" s="165"/>
      <c r="I47" s="165"/>
      <c r="J47" s="198"/>
    </row>
    <row r="48" spans="1:16" ht="14.5" hidden="1" customHeight="1" x14ac:dyDescent="0.35">
      <c r="B48" s="74" t="s">
        <v>160</v>
      </c>
      <c r="C48" s="50">
        <f>(C42+SUM(C17))*52</f>
        <v>39782.028761522604</v>
      </c>
      <c r="D48" s="14"/>
      <c r="E48" s="150">
        <f>(C42*E42+C17*E17)/(C48/52)</f>
        <v>0.1530400920079697</v>
      </c>
      <c r="F48" s="14" t="str">
        <f>H17</f>
        <v>Note: dilute to 10% solids</v>
      </c>
      <c r="G48" s="165"/>
      <c r="H48" s="165"/>
      <c r="I48" s="165"/>
      <c r="J48" s="241">
        <f>(SUMPRODUCT(C6:C8,J6:J8)+SUMPRODUCT(C9:C14,J9:J14)+C42*J42)/(C48/52)</f>
        <v>3.1026293690476945</v>
      </c>
    </row>
    <row r="49" spans="2:15" ht="14.5" hidden="1" customHeight="1" x14ac:dyDescent="0.35">
      <c r="B49" s="146" t="s">
        <v>153</v>
      </c>
      <c r="C49" s="147">
        <f>(C43+SUM(C7:C9,C10,C11:C15))*52</f>
        <v>45998.797754816231</v>
      </c>
      <c r="D49" s="14"/>
      <c r="E49" s="14"/>
      <c r="F49" s="14"/>
      <c r="G49" s="165"/>
      <c r="H49" s="165"/>
      <c r="I49" s="165"/>
      <c r="J49" s="233">
        <f>(SUMPRODUCT(C7:C9,J7:J9)+SUMPRODUCT(C10:C15,J10:J15)+C43*J43)/(C49/52)</f>
        <v>5.4126022013655559</v>
      </c>
    </row>
    <row r="50" spans="2:15" ht="14.5" hidden="1" customHeight="1" x14ac:dyDescent="0.35">
      <c r="B50" s="74" t="s">
        <v>154</v>
      </c>
      <c r="C50" s="50">
        <f>(C44+SUM(C12:C15))*52</f>
        <v>6822.1247311827956</v>
      </c>
      <c r="D50" s="14"/>
      <c r="E50" s="151">
        <f>E44</f>
        <v>0.73280000000000001</v>
      </c>
      <c r="F50" s="14"/>
      <c r="G50" s="165"/>
      <c r="H50" s="165"/>
      <c r="I50" s="165"/>
      <c r="J50" s="241">
        <f>(SUMPRODUCT(C10:C15,J10:J15)+C44*J44)/(C50/52)</f>
        <v>15.853185081832104</v>
      </c>
    </row>
    <row r="51" spans="2:15" ht="14.5" hidden="1" customHeight="1" x14ac:dyDescent="0.35">
      <c r="B51" s="74" t="s">
        <v>161</v>
      </c>
      <c r="C51" s="50">
        <f>C47-C48-C50</f>
        <v>7585.059008654609</v>
      </c>
      <c r="D51" s="139"/>
      <c r="E51" s="14"/>
      <c r="F51" s="14"/>
      <c r="G51" s="165"/>
      <c r="H51" s="165"/>
      <c r="I51" s="165"/>
      <c r="J51" s="242"/>
    </row>
    <row r="52" spans="2:15" hidden="1" x14ac:dyDescent="0.35">
      <c r="B52" s="76"/>
      <c r="C52" s="288" t="s">
        <v>50</v>
      </c>
      <c r="D52" s="288"/>
      <c r="E52" s="288"/>
      <c r="F52" s="288"/>
      <c r="G52" s="243"/>
      <c r="H52" s="244"/>
      <c r="I52" s="165"/>
      <c r="J52" s="198"/>
    </row>
    <row r="53" spans="2:15" ht="27.75" hidden="1" customHeight="1" x14ac:dyDescent="0.35">
      <c r="B53" s="76"/>
      <c r="C53" s="51"/>
      <c r="D53" s="51"/>
      <c r="E53" s="56" t="s">
        <v>132</v>
      </c>
      <c r="F53" s="52" t="s">
        <v>131</v>
      </c>
      <c r="G53" s="245"/>
      <c r="H53" s="246" t="s">
        <v>133</v>
      </c>
      <c r="I53" s="165"/>
      <c r="J53" s="198"/>
    </row>
    <row r="54" spans="2:15" s="168" customFormat="1" hidden="1" x14ac:dyDescent="0.35">
      <c r="B54" s="77" t="s">
        <v>48</v>
      </c>
      <c r="C54" s="51" t="s">
        <v>73</v>
      </c>
      <c r="D54" s="51" t="s">
        <v>74</v>
      </c>
      <c r="E54" s="57" t="s">
        <v>51</v>
      </c>
      <c r="F54" s="51" t="s">
        <v>130</v>
      </c>
      <c r="G54" s="243"/>
      <c r="H54" s="243" t="s">
        <v>130</v>
      </c>
      <c r="I54" s="243"/>
      <c r="J54" s="198"/>
      <c r="K54" s="164"/>
    </row>
    <row r="55" spans="2:15" hidden="1" x14ac:dyDescent="0.35">
      <c r="B55" s="77" t="s">
        <v>49</v>
      </c>
      <c r="C55" s="53">
        <f>D46*35.5/1000</f>
        <v>1160.5310164303871</v>
      </c>
      <c r="D55" s="53"/>
      <c r="E55" s="58">
        <f>C55/7/24/3600*O55*1000</f>
        <v>0.72916962011168507</v>
      </c>
      <c r="F55" s="54">
        <f>C55/7/24/3600*0.9*1000</f>
        <v>1.7269806792118858</v>
      </c>
      <c r="G55" s="247"/>
      <c r="H55" s="244"/>
      <c r="I55" s="165"/>
      <c r="J55" s="198"/>
      <c r="N55" s="248" t="s">
        <v>129</v>
      </c>
      <c r="O55" s="249">
        <v>0.38</v>
      </c>
    </row>
    <row r="56" spans="2:15" s="168" customFormat="1" hidden="1" x14ac:dyDescent="0.35">
      <c r="B56" s="78" t="s">
        <v>125</v>
      </c>
      <c r="C56" s="55">
        <f>(SUMPRODUCT(C7:C15,J7:J15)+C43*J43)*L56</f>
        <v>3830.3568305828821</v>
      </c>
      <c r="D56" s="25"/>
      <c r="E56" s="58">
        <f>C56/7/24/3600*O56*1000*L56</f>
        <v>1.9253116344199672</v>
      </c>
      <c r="F56" s="54">
        <f>C56/7/24/3600*L56*1000-E56</f>
        <v>3.1412979298431054</v>
      </c>
      <c r="G56" s="247"/>
      <c r="H56" s="250">
        <f>C56/7/24/3600*L56*1000</f>
        <v>5.0666095642630724</v>
      </c>
      <c r="I56" s="251"/>
      <c r="J56" s="252"/>
      <c r="K56" s="248" t="s">
        <v>127</v>
      </c>
      <c r="L56" s="249">
        <v>0.8</v>
      </c>
      <c r="N56" s="248" t="s">
        <v>129</v>
      </c>
      <c r="O56" s="249">
        <v>0.38</v>
      </c>
    </row>
    <row r="57" spans="2:15" s="168" customFormat="1" hidden="1" x14ac:dyDescent="0.35">
      <c r="B57" s="77" t="s">
        <v>145</v>
      </c>
      <c r="C57" s="55">
        <f>(SUMPRODUCT(C7:C15,J7:J15)+C44*J44)*L57</f>
        <v>2753.3226819358301</v>
      </c>
      <c r="D57" s="25"/>
      <c r="E57" s="58">
        <f>C57/7/24/3600*O57*1000*L57</f>
        <v>1.3839452634068987</v>
      </c>
      <c r="F57" s="54">
        <f t="shared" ref="F57:F59" si="9">C57/7/24/3600*L57*1000-E57</f>
        <v>2.25801595608494</v>
      </c>
      <c r="G57" s="247"/>
      <c r="H57" s="250">
        <f t="shared" ref="H57:H59" si="10">C57/7/24/3600*L57*1000</f>
        <v>3.6419612194918387</v>
      </c>
      <c r="I57" s="251"/>
      <c r="J57" s="252"/>
      <c r="K57" s="248" t="s">
        <v>127</v>
      </c>
      <c r="L57" s="249">
        <v>0.8</v>
      </c>
      <c r="N57" s="248" t="s">
        <v>129</v>
      </c>
      <c r="O57" s="249">
        <v>0.38</v>
      </c>
    </row>
    <row r="58" spans="2:15" s="168" customFormat="1" hidden="1" x14ac:dyDescent="0.35">
      <c r="B58" s="78" t="s">
        <v>128</v>
      </c>
      <c r="C58" s="55">
        <f>(SUMPRODUCT(C7:C15,J7:J15)+C43*J43)*L58</f>
        <v>4692.1871174640301</v>
      </c>
      <c r="D58" s="25"/>
      <c r="E58" s="58">
        <f>C58/7/24/3600*O58*1000</f>
        <v>1.3964842611500088</v>
      </c>
      <c r="F58" s="54">
        <f>C58/7/24/3600*L58*1000-E58</f>
        <v>6.2065967162222613</v>
      </c>
      <c r="G58" s="247"/>
      <c r="H58" s="250">
        <f t="shared" si="10"/>
        <v>7.6030809773722705</v>
      </c>
      <c r="I58" s="251"/>
      <c r="J58" s="252"/>
      <c r="K58" s="248" t="s">
        <v>127</v>
      </c>
      <c r="L58" s="249">
        <v>0.98</v>
      </c>
      <c r="N58" s="248" t="s">
        <v>129</v>
      </c>
      <c r="O58" s="249">
        <v>0.18</v>
      </c>
    </row>
    <row r="59" spans="2:15" s="168" customFormat="1" ht="15" hidden="1" thickBot="1" x14ac:dyDescent="0.4">
      <c r="B59" s="102" t="s">
        <v>146</v>
      </c>
      <c r="C59" s="79">
        <f>(SUMPRODUCT(C7:C15,J7:J15)+C44*J44)*L59</f>
        <v>3372.8202853713919</v>
      </c>
      <c r="D59" s="80"/>
      <c r="E59" s="81">
        <f>C59/7/24/3600*0.18*1000</f>
        <v>1.003815561122438</v>
      </c>
      <c r="F59" s="82">
        <f t="shared" si="9"/>
        <v>4.461402493877503</v>
      </c>
      <c r="G59" s="253"/>
      <c r="H59" s="254">
        <f t="shared" si="10"/>
        <v>5.4652180549999407</v>
      </c>
      <c r="I59" s="255"/>
      <c r="J59" s="256"/>
      <c r="K59" s="248" t="s">
        <v>127</v>
      </c>
      <c r="L59" s="249">
        <v>0.98</v>
      </c>
      <c r="N59" s="248" t="s">
        <v>129</v>
      </c>
      <c r="O59" s="249">
        <v>0.18</v>
      </c>
    </row>
    <row r="60" spans="2:15" s="168" customFormat="1" hidden="1" x14ac:dyDescent="0.35">
      <c r="B60" s="2"/>
      <c r="C60" s="48"/>
      <c r="D60" s="14"/>
      <c r="E60" s="49"/>
      <c r="F60" s="49"/>
      <c r="G60" s="257"/>
      <c r="H60" s="251"/>
      <c r="K60" s="248"/>
      <c r="L60" s="249"/>
    </row>
    <row r="61" spans="2:15" ht="28.5" hidden="1" customHeight="1" x14ac:dyDescent="0.35">
      <c r="B61" s="7" t="s">
        <v>14</v>
      </c>
      <c r="C61" s="8" t="s">
        <v>16</v>
      </c>
      <c r="D61" s="8"/>
      <c r="E61" s="9" t="s">
        <v>46</v>
      </c>
      <c r="F61" s="8" t="s">
        <v>45</v>
      </c>
      <c r="G61" s="258"/>
    </row>
    <row r="62" spans="2:15" hidden="1" x14ac:dyDescent="0.35">
      <c r="B62" s="2" t="s">
        <v>1</v>
      </c>
      <c r="C62" s="2"/>
      <c r="D62" s="6"/>
      <c r="E62" s="2"/>
      <c r="F62" s="3"/>
      <c r="G62" s="165"/>
    </row>
    <row r="63" spans="2:15" hidden="1" x14ac:dyDescent="0.35">
      <c r="B63" s="2" t="s">
        <v>54</v>
      </c>
      <c r="C63" s="2"/>
      <c r="D63" s="6"/>
      <c r="E63" s="2"/>
      <c r="F63" s="3"/>
      <c r="G63" s="165"/>
    </row>
    <row r="64" spans="2:15" hidden="1" x14ac:dyDescent="0.35">
      <c r="B64" s="2" t="s">
        <v>3</v>
      </c>
      <c r="C64" s="2"/>
      <c r="D64" s="6"/>
      <c r="E64" s="2"/>
      <c r="F64" s="3"/>
      <c r="G64" s="165"/>
    </row>
    <row r="65" spans="2:8" hidden="1" x14ac:dyDescent="0.35">
      <c r="B65" s="2" t="s">
        <v>55</v>
      </c>
      <c r="C65" s="3"/>
      <c r="D65" s="3"/>
      <c r="E65" s="5"/>
      <c r="F65" s="3"/>
      <c r="G65" s="165"/>
    </row>
    <row r="66" spans="2:8" hidden="1" x14ac:dyDescent="0.35">
      <c r="B66" s="2" t="s">
        <v>56</v>
      </c>
      <c r="C66" s="3"/>
      <c r="D66" s="3"/>
      <c r="E66" s="5"/>
      <c r="F66" s="3"/>
      <c r="G66" s="165"/>
    </row>
    <row r="67" spans="2:8" hidden="1" x14ac:dyDescent="0.35">
      <c r="B67" s="10" t="s">
        <v>47</v>
      </c>
      <c r="C67" s="2"/>
      <c r="D67" s="6"/>
      <c r="E67" s="2"/>
      <c r="F67" s="3"/>
      <c r="G67" s="165"/>
    </row>
    <row r="68" spans="2:8" hidden="1" x14ac:dyDescent="0.35">
      <c r="B68" s="10"/>
      <c r="C68" s="12"/>
      <c r="D68" s="12"/>
      <c r="E68" s="13"/>
      <c r="F68" s="14"/>
      <c r="G68" s="165"/>
    </row>
    <row r="69" spans="2:8" hidden="1" x14ac:dyDescent="0.35">
      <c r="B69" s="15" t="s">
        <v>53</v>
      </c>
      <c r="C69" s="8" t="s">
        <v>16</v>
      </c>
      <c r="D69" s="8"/>
      <c r="E69" s="9" t="s">
        <v>46</v>
      </c>
      <c r="F69" s="8" t="s">
        <v>45</v>
      </c>
      <c r="G69" s="258"/>
    </row>
    <row r="70" spans="2:8" hidden="1" x14ac:dyDescent="0.35">
      <c r="B70" s="16" t="str">
        <f>B21</f>
        <v>Municipal Solid Waste - After recycling</v>
      </c>
      <c r="C70" s="6"/>
      <c r="D70" s="6"/>
      <c r="E70" s="11"/>
      <c r="F70" s="3"/>
      <c r="G70" s="165"/>
    </row>
    <row r="71" spans="2:8" hidden="1" x14ac:dyDescent="0.35">
      <c r="B71" s="16" t="str">
        <f>B23</f>
        <v>FOGO (Food Organics / Green Organics)</v>
      </c>
      <c r="C71" s="6"/>
      <c r="D71" s="6"/>
      <c r="E71" s="11"/>
      <c r="F71" s="3"/>
      <c r="G71" s="165"/>
    </row>
    <row r="72" spans="2:8" hidden="1" x14ac:dyDescent="0.35">
      <c r="B72" s="16" t="str">
        <f>B29</f>
        <v>Segregated Wood [dry]</v>
      </c>
      <c r="C72" s="3"/>
      <c r="D72" s="3"/>
      <c r="E72" s="3"/>
      <c r="F72" s="3"/>
      <c r="G72" s="165"/>
    </row>
    <row r="73" spans="2:8" hidden="1" x14ac:dyDescent="0.35">
      <c r="B73" s="16" t="str">
        <f>B24</f>
        <v>All organics</v>
      </c>
      <c r="C73" s="3"/>
      <c r="D73" s="3"/>
      <c r="E73" s="3"/>
      <c r="F73" s="3"/>
      <c r="G73" s="165"/>
    </row>
    <row r="74" spans="2:8" hidden="1" x14ac:dyDescent="0.35">
      <c r="B74" s="16" t="str">
        <f t="shared" ref="B74" si="11">B40</f>
        <v>Grease Trap Waste</v>
      </c>
      <c r="C74" s="3"/>
      <c r="D74" s="3"/>
      <c r="E74" s="3"/>
      <c r="F74" s="3"/>
      <c r="G74" s="165"/>
    </row>
    <row r="75" spans="2:8" hidden="1" x14ac:dyDescent="0.35">
      <c r="B75" s="16"/>
      <c r="C75" s="14"/>
      <c r="D75" s="14"/>
      <c r="E75" s="14"/>
      <c r="F75" s="14"/>
      <c r="G75" s="165"/>
    </row>
    <row r="77" spans="2:8" ht="53.5" customHeight="1" thickBot="1" x14ac:dyDescent="0.4">
      <c r="F77" s="165"/>
      <c r="G77" s="165"/>
      <c r="H77" s="165"/>
    </row>
    <row r="78" spans="2:8" ht="20" x14ac:dyDescent="0.4">
      <c r="B78" s="265" t="s">
        <v>87</v>
      </c>
      <c r="C78" s="104"/>
      <c r="D78" s="104"/>
      <c r="E78" s="104"/>
      <c r="F78" s="105"/>
      <c r="G78" s="165"/>
      <c r="H78" s="165"/>
    </row>
    <row r="79" spans="2:8" x14ac:dyDescent="0.35">
      <c r="B79" s="266" t="s">
        <v>167</v>
      </c>
      <c r="C79" s="14"/>
      <c r="D79" s="14"/>
      <c r="E79" s="106"/>
      <c r="F79" s="75"/>
      <c r="G79" s="165"/>
      <c r="H79" s="165"/>
    </row>
    <row r="80" spans="2:8" x14ac:dyDescent="0.35">
      <c r="B80" s="107"/>
      <c r="C80" s="14"/>
      <c r="D80" s="14"/>
      <c r="E80" s="14"/>
      <c r="F80" s="75"/>
      <c r="G80" s="165"/>
      <c r="H80" s="165"/>
    </row>
    <row r="81" spans="2:9" ht="18.5" thickBot="1" x14ac:dyDescent="0.45">
      <c r="B81" s="108" t="s">
        <v>88</v>
      </c>
      <c r="C81" s="36"/>
      <c r="D81" s="36"/>
      <c r="E81" s="14"/>
      <c r="F81" s="75"/>
      <c r="G81" s="165"/>
      <c r="H81" s="165"/>
    </row>
    <row r="82" spans="2:9" ht="15" thickBot="1" x14ac:dyDescent="0.4">
      <c r="B82" s="109"/>
      <c r="C82" s="14"/>
      <c r="D82" s="14"/>
      <c r="E82" s="14"/>
      <c r="F82" s="75"/>
      <c r="G82" s="165"/>
      <c r="H82" s="165"/>
    </row>
    <row r="83" spans="2:9" ht="16" thickBot="1" x14ac:dyDescent="0.4">
      <c r="B83" s="157" t="s">
        <v>114</v>
      </c>
      <c r="C83" s="268">
        <v>4500</v>
      </c>
      <c r="D83" s="110"/>
      <c r="E83" s="110"/>
      <c r="F83" s="111"/>
      <c r="G83" s="259"/>
      <c r="H83" s="165"/>
    </row>
    <row r="84" spans="2:9" ht="16" thickBot="1" x14ac:dyDescent="0.4">
      <c r="B84" s="157" t="s">
        <v>115</v>
      </c>
      <c r="C84" s="269">
        <f>C83*0.355</f>
        <v>1597.5</v>
      </c>
      <c r="D84" s="153"/>
      <c r="E84" s="154"/>
      <c r="F84" s="75"/>
      <c r="G84" s="165"/>
      <c r="H84" s="165"/>
    </row>
    <row r="85" spans="2:9" x14ac:dyDescent="0.35">
      <c r="B85" s="112"/>
      <c r="C85" s="113"/>
      <c r="D85" s="14"/>
      <c r="E85" s="14"/>
      <c r="F85" s="75"/>
      <c r="G85" s="165"/>
      <c r="H85" s="165"/>
    </row>
    <row r="86" spans="2:9" ht="16" thickBot="1" x14ac:dyDescent="0.4">
      <c r="B86" s="157" t="s">
        <v>95</v>
      </c>
      <c r="C86" s="114"/>
      <c r="D86" s="267" t="s">
        <v>8</v>
      </c>
      <c r="E86" s="14"/>
      <c r="F86" s="75"/>
      <c r="G86" s="165"/>
      <c r="H86" s="260" t="s">
        <v>46</v>
      </c>
      <c r="I86" s="261" t="s">
        <v>164</v>
      </c>
    </row>
    <row r="87" spans="2:9" ht="15" thickBot="1" x14ac:dyDescent="0.4">
      <c r="B87" s="115" t="s">
        <v>1</v>
      </c>
      <c r="C87" s="287">
        <f>C84*0.071235926</f>
        <v>113.79939178500001</v>
      </c>
      <c r="D87" s="284">
        <v>0.25</v>
      </c>
      <c r="E87" s="14"/>
      <c r="F87" s="75"/>
      <c r="G87" s="165"/>
      <c r="H87" s="262">
        <f>C87*D87*88%*231.5</f>
        <v>5795.8030236100503</v>
      </c>
    </row>
    <row r="88" spans="2:9" ht="15" thickBot="1" x14ac:dyDescent="0.4">
      <c r="B88" s="115" t="s">
        <v>89</v>
      </c>
      <c r="C88" s="287">
        <f>C84*0.195898797</f>
        <v>312.94832820750003</v>
      </c>
      <c r="D88" s="285">
        <v>0.125</v>
      </c>
      <c r="E88" s="14"/>
      <c r="F88" s="75"/>
      <c r="G88" s="165"/>
      <c r="H88" s="262">
        <f>C88*D88*85.7%*230</f>
        <v>7710.6556216225408</v>
      </c>
    </row>
    <row r="89" spans="2:9" ht="15" thickBot="1" x14ac:dyDescent="0.4">
      <c r="B89" s="115" t="s">
        <v>3</v>
      </c>
      <c r="C89" s="287">
        <f>C84*0.035617963</f>
        <v>56.899695892500006</v>
      </c>
      <c r="D89" s="284">
        <v>7.0000000000000007E-2</v>
      </c>
      <c r="E89" s="14"/>
      <c r="F89" s="75"/>
      <c r="G89" s="165"/>
      <c r="H89" s="262">
        <f>C89*D89*60%*663</f>
        <v>1584.4289318225551</v>
      </c>
    </row>
    <row r="90" spans="2:9" ht="15" thickBot="1" x14ac:dyDescent="0.4">
      <c r="B90" s="115" t="s">
        <v>90</v>
      </c>
      <c r="C90" s="287">
        <f>C83/52*687/6400</f>
        <v>9.2893629807692299</v>
      </c>
      <c r="D90" s="284">
        <v>0.2</v>
      </c>
      <c r="E90" s="14"/>
      <c r="F90" s="75"/>
      <c r="G90" s="165"/>
      <c r="H90" s="262">
        <f>C90*D90*88%*254.5</f>
        <v>416.08914663461536</v>
      </c>
    </row>
    <row r="91" spans="2:9" ht="15" thickBot="1" x14ac:dyDescent="0.4">
      <c r="B91" s="115" t="s">
        <v>91</v>
      </c>
      <c r="C91" s="287">
        <f>C83/52*991/6400</f>
        <v>13.399939903846153</v>
      </c>
      <c r="D91" s="284">
        <v>0.2</v>
      </c>
      <c r="E91" s="116"/>
      <c r="F91" s="75"/>
      <c r="G91" s="165"/>
      <c r="H91" s="262">
        <f>C91*D91*70%*372</f>
        <v>697.86887019230767</v>
      </c>
    </row>
    <row r="92" spans="2:9" ht="15" thickBot="1" x14ac:dyDescent="0.4">
      <c r="B92" s="115" t="s">
        <v>92</v>
      </c>
      <c r="C92" s="287">
        <f>C83*598/52/1500/5</f>
        <v>6.9</v>
      </c>
      <c r="D92" s="284">
        <v>0.9</v>
      </c>
      <c r="E92" s="14"/>
      <c r="F92" s="75"/>
      <c r="G92" s="165"/>
      <c r="H92" s="262">
        <v>0</v>
      </c>
      <c r="I92" s="212">
        <f>C92*35.7</f>
        <v>246.33000000000004</v>
      </c>
    </row>
    <row r="93" spans="2:9" ht="15" thickBot="1" x14ac:dyDescent="0.4">
      <c r="B93" s="115" t="s">
        <v>93</v>
      </c>
      <c r="C93" s="287">
        <f>C83*432/52/1500/5</f>
        <v>4.9846153846153847</v>
      </c>
      <c r="D93" s="284">
        <v>0.9</v>
      </c>
      <c r="E93" s="14"/>
      <c r="F93" s="75"/>
      <c r="G93" s="165"/>
      <c r="H93" s="262">
        <v>0</v>
      </c>
      <c r="I93" s="164">
        <f>C93*16.75</f>
        <v>83.492307692307691</v>
      </c>
    </row>
    <row r="94" spans="2:9" ht="15" thickBot="1" x14ac:dyDescent="0.4">
      <c r="B94" s="115" t="s">
        <v>94</v>
      </c>
      <c r="C94" s="287">
        <f>C83*200/52/1500/5</f>
        <v>2.3076923076923075</v>
      </c>
      <c r="D94" s="284">
        <v>0.25</v>
      </c>
      <c r="E94" s="14"/>
      <c r="F94" s="75"/>
      <c r="G94" s="165"/>
      <c r="H94" s="262">
        <f>C94*D94*91%*600</f>
        <v>315</v>
      </c>
    </row>
    <row r="95" spans="2:9" x14ac:dyDescent="0.35">
      <c r="B95" s="109"/>
      <c r="C95" s="14"/>
      <c r="D95" s="14"/>
      <c r="E95" s="14"/>
      <c r="F95" s="75"/>
      <c r="G95" s="165"/>
      <c r="H95" s="165"/>
    </row>
    <row r="96" spans="2:9" ht="18.5" thickBot="1" x14ac:dyDescent="0.45">
      <c r="B96" s="108" t="s">
        <v>97</v>
      </c>
      <c r="C96" s="36"/>
      <c r="D96" s="36"/>
      <c r="E96" s="14"/>
      <c r="F96" s="75"/>
      <c r="G96" s="165"/>
      <c r="H96" s="165"/>
    </row>
    <row r="97" spans="2:9" ht="18.5" thickBot="1" x14ac:dyDescent="0.45">
      <c r="B97" s="117"/>
      <c r="C97" s="14"/>
      <c r="D97" s="14"/>
      <c r="E97" s="14"/>
      <c r="F97" s="75"/>
      <c r="G97" s="165"/>
      <c r="H97" s="165"/>
    </row>
    <row r="98" spans="2:9" ht="16" thickBot="1" x14ac:dyDescent="0.4">
      <c r="B98" s="157" t="s">
        <v>96</v>
      </c>
      <c r="C98" s="270">
        <v>0</v>
      </c>
      <c r="D98" s="14"/>
      <c r="E98" s="14"/>
      <c r="F98" s="75"/>
      <c r="G98" s="165"/>
      <c r="H98" s="263">
        <f>C98*0.0093*5.9502/9.4*26%*91%*600+C98*0.0093*5.9502/9.4*27%*60%*343</f>
        <v>0</v>
      </c>
      <c r="I98" s="212">
        <f>C98*0.005777048*6.71/7.39*0.11*17.5</f>
        <v>0</v>
      </c>
    </row>
    <row r="99" spans="2:9" hidden="1" x14ac:dyDescent="0.35">
      <c r="B99" s="109"/>
      <c r="C99" s="113"/>
      <c r="D99" s="14"/>
      <c r="E99" s="14"/>
      <c r="F99" s="75"/>
      <c r="G99" s="165"/>
      <c r="H99" s="165"/>
    </row>
    <row r="100" spans="2:9" ht="16" hidden="1" thickBot="1" x14ac:dyDescent="0.4">
      <c r="B100" s="118" t="s">
        <v>98</v>
      </c>
      <c r="C100" s="38"/>
      <c r="D100" s="14"/>
      <c r="E100" s="14"/>
      <c r="F100" s="75"/>
      <c r="G100" s="165"/>
      <c r="H100" s="165"/>
    </row>
    <row r="101" spans="2:9" hidden="1" x14ac:dyDescent="0.35">
      <c r="B101" s="109"/>
      <c r="C101" s="113"/>
      <c r="D101" s="14"/>
      <c r="E101" s="14"/>
      <c r="F101" s="75"/>
      <c r="G101" s="165"/>
      <c r="H101" s="165"/>
    </row>
    <row r="102" spans="2:9" ht="15.5" hidden="1" x14ac:dyDescent="0.35">
      <c r="B102" s="118" t="s">
        <v>101</v>
      </c>
      <c r="C102" s="113"/>
      <c r="D102" s="14"/>
      <c r="E102" s="14"/>
      <c r="F102" s="75"/>
      <c r="G102" s="165"/>
      <c r="H102" s="165"/>
    </row>
    <row r="103" spans="2:9" ht="15" hidden="1" thickBot="1" x14ac:dyDescent="0.4">
      <c r="B103" s="115" t="s">
        <v>99</v>
      </c>
      <c r="C103" s="38"/>
      <c r="D103" s="14"/>
      <c r="E103" s="14"/>
      <c r="F103" s="75"/>
      <c r="G103" s="165"/>
      <c r="H103" s="165"/>
    </row>
    <row r="104" spans="2:9" ht="15" hidden="1" thickBot="1" x14ac:dyDescent="0.4">
      <c r="B104" s="115" t="s">
        <v>100</v>
      </c>
      <c r="C104" s="38"/>
      <c r="D104" s="14"/>
      <c r="E104" s="14"/>
      <c r="F104" s="75"/>
      <c r="G104" s="165"/>
      <c r="H104" s="165"/>
    </row>
    <row r="105" spans="2:9" ht="15" hidden="1" thickBot="1" x14ac:dyDescent="0.4">
      <c r="B105" s="115" t="s">
        <v>77</v>
      </c>
      <c r="C105" s="38"/>
      <c r="D105" s="14"/>
      <c r="E105" s="14"/>
      <c r="F105" s="75"/>
      <c r="G105" s="165"/>
      <c r="H105" s="165"/>
    </row>
    <row r="106" spans="2:9" hidden="1" x14ac:dyDescent="0.35">
      <c r="B106" s="109"/>
      <c r="C106" s="113"/>
      <c r="D106" s="14"/>
      <c r="E106" s="14"/>
      <c r="F106" s="75"/>
      <c r="G106" s="165"/>
      <c r="H106" s="165"/>
    </row>
    <row r="107" spans="2:9" ht="16" hidden="1" thickBot="1" x14ac:dyDescent="0.4">
      <c r="B107" s="118" t="s">
        <v>102</v>
      </c>
      <c r="C107" s="38"/>
      <c r="D107" s="14"/>
      <c r="E107" s="14"/>
      <c r="F107" s="75"/>
      <c r="G107" s="165"/>
      <c r="H107" s="165"/>
    </row>
    <row r="108" spans="2:9" x14ac:dyDescent="0.35">
      <c r="B108" s="107"/>
      <c r="C108" s="14"/>
      <c r="D108" s="14"/>
      <c r="E108" s="14"/>
      <c r="F108" s="75"/>
      <c r="G108" s="165"/>
      <c r="H108" s="165"/>
    </row>
    <row r="109" spans="2:9" ht="18.5" thickBot="1" x14ac:dyDescent="0.45">
      <c r="B109" s="108" t="s">
        <v>48</v>
      </c>
      <c r="C109" s="36"/>
      <c r="D109" s="36"/>
      <c r="E109" s="14"/>
      <c r="F109" s="75"/>
      <c r="G109" s="165"/>
      <c r="H109" s="165"/>
    </row>
    <row r="110" spans="2:9" x14ac:dyDescent="0.35">
      <c r="B110" s="107"/>
      <c r="C110" s="14"/>
      <c r="D110" s="14"/>
      <c r="E110" s="14"/>
      <c r="F110" s="75"/>
      <c r="G110" s="165"/>
      <c r="H110" s="165"/>
    </row>
    <row r="111" spans="2:9" ht="16" thickBot="1" x14ac:dyDescent="0.4">
      <c r="B111" s="157" t="s">
        <v>148</v>
      </c>
      <c r="C111" s="14"/>
      <c r="D111" s="14"/>
      <c r="E111" s="14"/>
      <c r="F111" s="75"/>
      <c r="G111" s="165"/>
      <c r="H111" s="165"/>
    </row>
    <row r="112" spans="2:9" ht="15" thickBot="1" x14ac:dyDescent="0.4">
      <c r="B112" s="115" t="s">
        <v>169</v>
      </c>
      <c r="C112" s="271">
        <f>SUM(C87,C88,C89,C90,C91,C94)+(C98*0.005777048*(0.35+0.165))</f>
        <v>508.64441107730772</v>
      </c>
      <c r="D112" s="14"/>
      <c r="E112" s="14"/>
      <c r="F112" s="75"/>
      <c r="G112" s="165"/>
      <c r="H112" s="165"/>
    </row>
    <row r="113" spans="2:9" ht="15" hidden="1" thickBot="1" x14ac:dyDescent="0.4">
      <c r="B113" s="115" t="s">
        <v>103</v>
      </c>
      <c r="C113" s="272">
        <f>SUM(H87,H88,H89,H90,H91,H94,H98)*35.8</f>
        <v>591410.47226097807</v>
      </c>
      <c r="D113" s="14"/>
      <c r="E113" s="14"/>
      <c r="F113" s="75"/>
      <c r="G113" s="165"/>
      <c r="H113" s="165"/>
    </row>
    <row r="114" spans="2:9" ht="15" thickBot="1" x14ac:dyDescent="0.4">
      <c r="B114" s="115" t="s">
        <v>51</v>
      </c>
      <c r="C114" s="273">
        <f>C113*0.4/5/16/3600*0.85</f>
        <v>0.69819291864143251</v>
      </c>
      <c r="D114" s="14"/>
      <c r="E114" s="14"/>
      <c r="F114" s="75"/>
      <c r="G114" s="165"/>
      <c r="H114" s="165"/>
    </row>
    <row r="115" spans="2:9" ht="15" thickBot="1" x14ac:dyDescent="0.4">
      <c r="B115" s="115" t="s">
        <v>52</v>
      </c>
      <c r="C115" s="273">
        <f>C114*1.1</f>
        <v>0.76801221050557578</v>
      </c>
      <c r="D115" s="14"/>
      <c r="E115" s="14"/>
      <c r="F115" s="75"/>
      <c r="G115" s="165"/>
      <c r="H115" s="165"/>
    </row>
    <row r="116" spans="2:9" x14ac:dyDescent="0.35">
      <c r="B116" s="107"/>
      <c r="C116" s="155"/>
      <c r="D116" s="14"/>
      <c r="E116" s="14"/>
      <c r="F116" s="75"/>
      <c r="G116" s="165"/>
      <c r="H116" s="165"/>
    </row>
    <row r="117" spans="2:9" ht="16" thickBot="1" x14ac:dyDescent="0.4">
      <c r="B117" s="157" t="s">
        <v>147</v>
      </c>
      <c r="C117" s="155"/>
      <c r="D117" s="14"/>
      <c r="E117" s="14"/>
      <c r="F117" s="75"/>
      <c r="G117" s="165"/>
      <c r="H117" s="165"/>
    </row>
    <row r="118" spans="2:9" ht="16" thickBot="1" x14ac:dyDescent="0.4">
      <c r="B118" s="158" t="s">
        <v>168</v>
      </c>
      <c r="C118" s="271">
        <f>SUM(C92,C93,C98*0.005777048)</f>
        <v>11.884615384615385</v>
      </c>
      <c r="D118" s="14"/>
      <c r="E118" s="14"/>
      <c r="F118" s="75"/>
      <c r="G118" s="165"/>
      <c r="H118" s="165"/>
    </row>
    <row r="119" spans="2:9" ht="15" hidden="1" thickBot="1" x14ac:dyDescent="0.4">
      <c r="B119" s="115" t="s">
        <v>103</v>
      </c>
      <c r="C119" s="271">
        <f>SUM(I92,I93,I98)</f>
        <v>329.82230769230773</v>
      </c>
      <c r="D119" s="14"/>
      <c r="E119" s="14"/>
      <c r="F119" s="75"/>
      <c r="G119" s="165"/>
      <c r="H119" s="165"/>
    </row>
    <row r="120" spans="2:9" ht="15" thickBot="1" x14ac:dyDescent="0.4">
      <c r="B120" s="115" t="s">
        <v>51</v>
      </c>
      <c r="C120" s="273">
        <f>C119*1000/5/16/3600*0.26</f>
        <v>0.29775625000000006</v>
      </c>
      <c r="D120" s="14"/>
      <c r="E120" s="14"/>
      <c r="F120" s="75"/>
      <c r="G120" s="165"/>
      <c r="H120" s="165"/>
    </row>
    <row r="121" spans="2:9" ht="15" thickBot="1" x14ac:dyDescent="0.4">
      <c r="B121" s="115" t="s">
        <v>52</v>
      </c>
      <c r="C121" s="273">
        <f>C120*0.45</f>
        <v>0.13399031250000004</v>
      </c>
      <c r="D121" s="14"/>
      <c r="E121" s="14"/>
      <c r="F121" s="75"/>
      <c r="G121" s="165"/>
      <c r="H121" s="165"/>
    </row>
    <row r="122" spans="2:9" x14ac:dyDescent="0.35">
      <c r="B122" s="115"/>
      <c r="C122" s="156"/>
      <c r="D122" s="14"/>
      <c r="E122" s="14"/>
      <c r="F122" s="75"/>
      <c r="G122" s="165"/>
      <c r="H122" s="165"/>
    </row>
    <row r="123" spans="2:9" ht="16" thickBot="1" x14ac:dyDescent="0.4">
      <c r="B123" s="157" t="s">
        <v>171</v>
      </c>
      <c r="C123" s="155"/>
      <c r="D123" s="14"/>
      <c r="E123" s="14"/>
      <c r="F123" s="75"/>
      <c r="G123" s="165"/>
      <c r="H123" s="165" t="s">
        <v>166</v>
      </c>
      <c r="I123" s="264">
        <f>C45/C19</f>
        <v>1.1180816135084428E-3</v>
      </c>
    </row>
    <row r="124" spans="2:9" ht="16" thickBot="1" x14ac:dyDescent="0.4">
      <c r="B124" s="158" t="s">
        <v>170</v>
      </c>
      <c r="C124" s="271">
        <f>C87/0.5</f>
        <v>227.59878357000002</v>
      </c>
      <c r="D124" s="14"/>
      <c r="E124" s="14"/>
      <c r="F124" s="75"/>
      <c r="G124" s="165"/>
      <c r="H124" s="165"/>
      <c r="I124" s="264"/>
    </row>
    <row r="125" spans="2:9" ht="15" thickBot="1" x14ac:dyDescent="0.4">
      <c r="B125" s="115" t="s">
        <v>103</v>
      </c>
      <c r="C125" s="271">
        <f>C124*0.5*17.5+1.7*0.5*C124</f>
        <v>2184.948322272</v>
      </c>
      <c r="D125" s="153"/>
      <c r="E125" s="14"/>
      <c r="F125" s="75"/>
      <c r="G125" s="165"/>
      <c r="H125" s="165"/>
    </row>
    <row r="126" spans="2:9" ht="15" thickBot="1" x14ac:dyDescent="0.4">
      <c r="B126" s="115" t="s">
        <v>52</v>
      </c>
      <c r="C126" s="273">
        <f>C125*1000/5/16/3600*0.7</f>
        <v>5.3106382832999994</v>
      </c>
      <c r="D126" s="14"/>
      <c r="E126" s="14"/>
      <c r="F126" s="75"/>
      <c r="G126" s="165"/>
      <c r="H126" s="165"/>
    </row>
    <row r="127" spans="2:9" x14ac:dyDescent="0.35">
      <c r="B127" s="115"/>
      <c r="C127" s="156"/>
      <c r="D127" s="14"/>
      <c r="E127" s="14"/>
      <c r="F127" s="75"/>
      <c r="G127" s="165"/>
      <c r="H127" s="165"/>
    </row>
    <row r="128" spans="2:9" ht="18.5" thickBot="1" x14ac:dyDescent="0.45">
      <c r="B128" s="108" t="s">
        <v>104</v>
      </c>
      <c r="C128" s="37"/>
      <c r="D128" s="36"/>
      <c r="E128" s="14"/>
      <c r="F128" s="75"/>
      <c r="G128" s="165"/>
    </row>
    <row r="129" spans="2:6" hidden="1" x14ac:dyDescent="0.35">
      <c r="B129" s="109"/>
      <c r="C129" s="110"/>
      <c r="D129" s="14"/>
      <c r="E129" s="14"/>
      <c r="F129" s="75"/>
    </row>
    <row r="130" spans="2:6" ht="15" thickBot="1" x14ac:dyDescent="0.4">
      <c r="B130" s="109"/>
      <c r="C130" s="110"/>
      <c r="D130" s="14"/>
      <c r="E130" s="14"/>
      <c r="F130" s="75"/>
    </row>
    <row r="131" spans="2:6" ht="16" thickBot="1" x14ac:dyDescent="0.4">
      <c r="B131" s="157" t="s">
        <v>173</v>
      </c>
      <c r="C131" s="274">
        <v>0.14000000000000001</v>
      </c>
      <c r="D131" s="14"/>
      <c r="E131" s="14"/>
      <c r="F131" s="75"/>
    </row>
    <row r="132" spans="2:6" ht="16" hidden="1" thickBot="1" x14ac:dyDescent="0.4">
      <c r="B132" s="157"/>
      <c r="C132" s="275"/>
      <c r="D132" s="14"/>
      <c r="E132" s="14"/>
      <c r="F132" s="75"/>
    </row>
    <row r="133" spans="2:6" ht="16" thickBot="1" x14ac:dyDescent="0.4">
      <c r="B133" s="157" t="s">
        <v>105</v>
      </c>
      <c r="C133" s="276">
        <v>0.27</v>
      </c>
      <c r="D133" s="14"/>
      <c r="E133" s="14"/>
      <c r="F133" s="75"/>
    </row>
    <row r="134" spans="2:6" ht="16" hidden="1" thickBot="1" x14ac:dyDescent="0.4">
      <c r="B134" s="157"/>
      <c r="C134" s="275"/>
      <c r="D134" s="14"/>
      <c r="E134" s="14"/>
      <c r="F134" s="75"/>
    </row>
    <row r="135" spans="2:6" ht="16" thickBot="1" x14ac:dyDescent="0.4">
      <c r="B135" s="157" t="s">
        <v>106</v>
      </c>
      <c r="C135" s="277">
        <v>12</v>
      </c>
      <c r="D135" s="14"/>
      <c r="E135" s="14"/>
      <c r="F135" s="75"/>
    </row>
    <row r="136" spans="2:6" x14ac:dyDescent="0.35">
      <c r="B136" s="109"/>
      <c r="C136" s="110"/>
      <c r="D136" s="14"/>
      <c r="E136" s="14"/>
      <c r="F136" s="75"/>
    </row>
    <row r="137" spans="2:6" ht="18.5" thickBot="1" x14ac:dyDescent="0.45">
      <c r="B137" s="108" t="s">
        <v>107</v>
      </c>
      <c r="C137" s="37"/>
      <c r="D137" s="36"/>
      <c r="E137" s="14"/>
      <c r="F137" s="75"/>
    </row>
    <row r="138" spans="2:6" ht="15" thickBot="1" x14ac:dyDescent="0.4">
      <c r="B138" s="109"/>
      <c r="C138" s="110"/>
      <c r="D138" s="14"/>
      <c r="E138" s="14"/>
      <c r="F138" s="75"/>
    </row>
    <row r="139" spans="2:6" ht="16" thickBot="1" x14ac:dyDescent="0.4">
      <c r="B139" s="157" t="s">
        <v>108</v>
      </c>
      <c r="C139" s="103" t="s">
        <v>109</v>
      </c>
      <c r="D139" s="161" t="s">
        <v>174</v>
      </c>
      <c r="E139" s="160" t="s">
        <v>172</v>
      </c>
      <c r="F139" s="75"/>
    </row>
    <row r="140" spans="2:6" ht="16" hidden="1" thickBot="1" x14ac:dyDescent="0.4">
      <c r="B140" s="157"/>
      <c r="C140" s="159"/>
      <c r="D140" s="162"/>
      <c r="E140" s="163"/>
      <c r="F140" s="75"/>
    </row>
    <row r="141" spans="2:6" ht="16" thickBot="1" x14ac:dyDescent="0.4">
      <c r="B141" s="157" t="s">
        <v>110</v>
      </c>
      <c r="C141" s="278">
        <f>MROUND(((C112*48/40000))^0.6*7000000,100000)</f>
        <v>5200000</v>
      </c>
      <c r="D141" s="279">
        <f>MROUND((C120/1.3)^0.6*15000000,100000)</f>
        <v>6200000</v>
      </c>
      <c r="E141" s="279">
        <f>MROUND(2300000*(C126/5)^0.9,100000)</f>
        <v>2400000</v>
      </c>
      <c r="F141" s="75"/>
    </row>
    <row r="142" spans="2:6" ht="16" hidden="1" thickBot="1" x14ac:dyDescent="0.4">
      <c r="B142" s="157"/>
      <c r="C142" s="280"/>
      <c r="D142" s="281"/>
      <c r="E142" s="281"/>
      <c r="F142" s="75"/>
    </row>
    <row r="143" spans="2:6" ht="16" thickBot="1" x14ac:dyDescent="0.4">
      <c r="B143" s="157" t="s">
        <v>175</v>
      </c>
      <c r="C143" s="278">
        <f>MROUND(C115/1000*3600*6*16*48*C135+C114*1000*6*48*C133+C114*1000*16*6*48*C131-C114*1000*16*6*48*0.02,50000)</f>
        <v>600000</v>
      </c>
      <c r="D143" s="279">
        <f>MROUND(C121/1000*3600*16*6*48*C135+C120*1000*6*48*C133+C120*1000*16*6*48*C131-C120*1000*16*6*48*0.02,50000)</f>
        <v>200000</v>
      </c>
      <c r="E143" s="279">
        <f>MROUND(C126/1000*3600*16*6*48/2*C135+C126/1000*3600*16*6*48/2*(C135-4),50000)</f>
        <v>900000</v>
      </c>
      <c r="F143" s="75"/>
    </row>
    <row r="144" spans="2:6" ht="16" hidden="1" thickBot="1" x14ac:dyDescent="0.4">
      <c r="B144" s="157"/>
      <c r="C144" s="282"/>
      <c r="D144" s="283"/>
      <c r="E144" s="283"/>
      <c r="F144" s="75"/>
    </row>
    <row r="145" spans="2:6" ht="16" thickBot="1" x14ac:dyDescent="0.4">
      <c r="B145" s="157" t="s">
        <v>111</v>
      </c>
      <c r="C145" s="273">
        <f t="shared" ref="C145" si="12">C141/C143</f>
        <v>8.6666666666666661</v>
      </c>
      <c r="D145" s="273">
        <f>D141/D143</f>
        <v>31</v>
      </c>
      <c r="E145" s="273">
        <f>E141/E143</f>
        <v>2.6666666666666665</v>
      </c>
      <c r="F145" s="75"/>
    </row>
    <row r="146" spans="2:6" x14ac:dyDescent="0.35">
      <c r="B146" s="109"/>
      <c r="C146" s="110"/>
      <c r="D146" s="14"/>
      <c r="E146" s="14"/>
      <c r="F146" s="75"/>
    </row>
    <row r="147" spans="2:6" x14ac:dyDescent="0.35">
      <c r="B147" s="109"/>
      <c r="C147" s="110"/>
      <c r="D147" s="14"/>
      <c r="E147" s="14"/>
      <c r="F147" s="75"/>
    </row>
    <row r="148" spans="2:6" x14ac:dyDescent="0.35">
      <c r="B148" s="109"/>
      <c r="C148" s="110"/>
      <c r="D148" s="14"/>
      <c r="E148" s="14"/>
      <c r="F148" s="75"/>
    </row>
    <row r="149" spans="2:6" x14ac:dyDescent="0.35">
      <c r="B149" s="109"/>
      <c r="C149" s="110"/>
      <c r="D149" s="14"/>
      <c r="E149" s="14"/>
      <c r="F149" s="75"/>
    </row>
    <row r="150" spans="2:6" x14ac:dyDescent="0.35">
      <c r="B150" s="109"/>
      <c r="C150" s="110"/>
      <c r="D150" s="14"/>
      <c r="E150" s="14"/>
      <c r="F150" s="75"/>
    </row>
    <row r="151" spans="2:6" x14ac:dyDescent="0.35">
      <c r="B151" s="109"/>
      <c r="C151" s="110"/>
      <c r="D151" s="14"/>
      <c r="E151" s="14"/>
      <c r="F151" s="75"/>
    </row>
    <row r="152" spans="2:6" x14ac:dyDescent="0.35">
      <c r="B152" s="107"/>
      <c r="C152" s="14"/>
      <c r="D152" s="14"/>
      <c r="E152" s="14"/>
      <c r="F152" s="75"/>
    </row>
    <row r="153" spans="2:6" x14ac:dyDescent="0.35">
      <c r="B153" s="107"/>
      <c r="C153" s="14"/>
      <c r="D153" s="14"/>
      <c r="E153" s="14"/>
      <c r="F153" s="75"/>
    </row>
    <row r="154" spans="2:6" x14ac:dyDescent="0.35">
      <c r="B154" s="107"/>
      <c r="C154" s="14"/>
      <c r="D154" s="14"/>
      <c r="E154" s="14"/>
      <c r="F154" s="75"/>
    </row>
    <row r="155" spans="2:6" x14ac:dyDescent="0.35">
      <c r="B155" s="107"/>
      <c r="C155" s="14"/>
      <c r="D155" s="14"/>
      <c r="E155" s="14"/>
      <c r="F155" s="75"/>
    </row>
    <row r="156" spans="2:6" x14ac:dyDescent="0.35">
      <c r="B156" s="107"/>
      <c r="C156" s="14"/>
      <c r="D156" s="14"/>
      <c r="E156" s="14"/>
      <c r="F156" s="75"/>
    </row>
    <row r="157" spans="2:6" x14ac:dyDescent="0.35">
      <c r="B157" s="107"/>
      <c r="C157" s="14"/>
      <c r="D157" s="14"/>
      <c r="E157" s="14"/>
      <c r="F157" s="75"/>
    </row>
    <row r="158" spans="2:6" x14ac:dyDescent="0.35">
      <c r="B158" s="107"/>
      <c r="C158" s="14"/>
      <c r="D158" s="14"/>
      <c r="E158" s="14"/>
      <c r="F158" s="75"/>
    </row>
    <row r="159" spans="2:6" x14ac:dyDescent="0.35">
      <c r="B159" s="107"/>
      <c r="C159" s="14"/>
      <c r="D159" s="14"/>
      <c r="E159" s="14"/>
      <c r="F159" s="75"/>
    </row>
    <row r="160" spans="2:6" x14ac:dyDescent="0.35">
      <c r="B160" s="107"/>
      <c r="C160" s="14"/>
      <c r="D160" s="14"/>
      <c r="E160" s="14"/>
      <c r="F160" s="75"/>
    </row>
    <row r="161" spans="2:6" x14ac:dyDescent="0.35">
      <c r="B161" s="107"/>
      <c r="C161" s="14"/>
      <c r="D161" s="14"/>
      <c r="E161" s="14"/>
      <c r="F161" s="75"/>
    </row>
    <row r="162" spans="2:6" x14ac:dyDescent="0.35">
      <c r="B162" s="107"/>
      <c r="C162" s="14"/>
      <c r="D162" s="14"/>
      <c r="E162" s="14"/>
      <c r="F162" s="75"/>
    </row>
    <row r="163" spans="2:6" x14ac:dyDescent="0.35">
      <c r="B163" s="107"/>
      <c r="C163" s="14"/>
      <c r="D163" s="14"/>
      <c r="E163" s="14"/>
      <c r="F163" s="75"/>
    </row>
    <row r="164" spans="2:6" x14ac:dyDescent="0.35">
      <c r="B164" s="107"/>
      <c r="C164" s="14"/>
      <c r="D164" s="14"/>
      <c r="E164" s="14"/>
      <c r="F164" s="75"/>
    </row>
    <row r="165" spans="2:6" x14ac:dyDescent="0.35">
      <c r="B165" s="107"/>
      <c r="C165" s="14"/>
      <c r="D165" s="14"/>
      <c r="E165" s="14"/>
      <c r="F165" s="75"/>
    </row>
    <row r="166" spans="2:6" x14ac:dyDescent="0.35">
      <c r="B166" s="107"/>
      <c r="C166" s="14"/>
      <c r="D166" s="14"/>
      <c r="E166" s="14"/>
      <c r="F166" s="75"/>
    </row>
    <row r="167" spans="2:6" x14ac:dyDescent="0.35">
      <c r="B167" s="107"/>
      <c r="C167" s="14"/>
      <c r="D167" s="14"/>
      <c r="E167" s="14"/>
      <c r="F167" s="75"/>
    </row>
    <row r="168" spans="2:6" x14ac:dyDescent="0.35">
      <c r="B168" s="107"/>
      <c r="C168" s="14"/>
      <c r="D168" s="14"/>
      <c r="E168" s="14"/>
      <c r="F168" s="75"/>
    </row>
    <row r="169" spans="2:6" x14ac:dyDescent="0.35">
      <c r="B169" s="107"/>
      <c r="C169" s="14"/>
      <c r="D169" s="14"/>
      <c r="E169" s="14"/>
      <c r="F169" s="75"/>
    </row>
    <row r="170" spans="2:6" ht="15" thickBot="1" x14ac:dyDescent="0.4">
      <c r="B170" s="286"/>
      <c r="C170" s="36"/>
      <c r="D170" s="36"/>
      <c r="E170" s="36"/>
      <c r="F170" s="119"/>
    </row>
  </sheetData>
  <sheetProtection sheet="1" objects="1" scenarios="1"/>
  <mergeCells count="6">
    <mergeCell ref="C52:F52"/>
    <mergeCell ref="C3:F3"/>
    <mergeCell ref="N3:O3"/>
    <mergeCell ref="AJ3:AK3"/>
    <mergeCell ref="C2:F2"/>
    <mergeCell ref="N2:O2"/>
  </mergeCells>
  <phoneticPr fontId="18" type="noConversion"/>
  <dataValidations count="1">
    <dataValidation type="list" allowBlank="1" showInputMessage="1" showErrorMessage="1" sqref="C139" xr:uid="{98EF4857-2B44-49D2-8181-68A5D46759FC}">
      <formula1>"AD,Gasification,Combustion"</formula1>
    </dataValidation>
  </dataValidations>
  <pageMargins left="0.7" right="0.7" top="0.75" bottom="0.75" header="0.3" footer="0.3"/>
  <pageSetup paperSize="9" orientation="portrait" r:id="rId1"/>
  <ignoredErrors>
    <ignoredError sqref="C84 C88:C89 C91:C9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ADA9-BBBA-4EBB-8B0D-8DD0B9148AA2}">
  <sheetPr codeName="Sheet2"/>
  <dimension ref="A1:D47"/>
  <sheetViews>
    <sheetView workbookViewId="0">
      <selection activeCell="C38" sqref="C38"/>
    </sheetView>
  </sheetViews>
  <sheetFormatPr defaultRowHeight="14.5" x14ac:dyDescent="0.35"/>
  <cols>
    <col min="1" max="1" width="26.26953125" customWidth="1"/>
    <col min="3" max="3" width="11.54296875" bestFit="1" customWidth="1"/>
    <col min="4" max="4" width="10.26953125" bestFit="1" customWidth="1"/>
  </cols>
  <sheetData>
    <row r="1" spans="1:4" x14ac:dyDescent="0.35">
      <c r="A1" t="s">
        <v>17</v>
      </c>
      <c r="B1" t="s">
        <v>19</v>
      </c>
      <c r="C1" t="s">
        <v>20</v>
      </c>
      <c r="D1" t="s">
        <v>21</v>
      </c>
    </row>
    <row r="2" spans="1:4" ht="29" x14ac:dyDescent="0.35">
      <c r="A2" s="4" t="s">
        <v>18</v>
      </c>
      <c r="B2">
        <v>1149</v>
      </c>
      <c r="C2" t="s">
        <v>22</v>
      </c>
      <c r="D2" t="s">
        <v>23</v>
      </c>
    </row>
    <row r="3" spans="1:4" x14ac:dyDescent="0.35">
      <c r="B3">
        <v>0.29599999999999999</v>
      </c>
      <c r="C3" t="s">
        <v>24</v>
      </c>
    </row>
    <row r="4" spans="1:4" x14ac:dyDescent="0.35">
      <c r="B4">
        <v>9.1999999999999993</v>
      </c>
      <c r="C4" t="s">
        <v>25</v>
      </c>
      <c r="D4" t="s">
        <v>26</v>
      </c>
    </row>
    <row r="5" spans="1:4" x14ac:dyDescent="0.35">
      <c r="B5">
        <v>5.51</v>
      </c>
      <c r="C5" t="str">
        <f>C4</f>
        <v>$/head</v>
      </c>
      <c r="D5" t="s">
        <v>27</v>
      </c>
    </row>
    <row r="6" spans="1:4" x14ac:dyDescent="0.35">
      <c r="B6">
        <v>4.51</v>
      </c>
      <c r="C6" t="str">
        <f t="shared" ref="C6:C7" si="0">C5</f>
        <v>$/head</v>
      </c>
      <c r="D6" t="s">
        <v>28</v>
      </c>
    </row>
    <row r="7" spans="1:4" x14ac:dyDescent="0.35">
      <c r="B7">
        <v>2.41</v>
      </c>
      <c r="C7" t="str">
        <f t="shared" si="0"/>
        <v>$/head</v>
      </c>
      <c r="D7" t="s">
        <v>29</v>
      </c>
    </row>
    <row r="42" spans="1:4" ht="29" x14ac:dyDescent="0.35">
      <c r="A42" s="4" t="s">
        <v>30</v>
      </c>
      <c r="B42">
        <f>5.6/1000</f>
        <v>5.5999999999999999E-3</v>
      </c>
      <c r="C42" t="s">
        <v>31</v>
      </c>
      <c r="D42" t="s">
        <v>32</v>
      </c>
    </row>
    <row r="43" spans="1:4" x14ac:dyDescent="0.35">
      <c r="A43" s="4"/>
    </row>
    <row r="44" spans="1:4" ht="43.5" x14ac:dyDescent="0.35">
      <c r="A44" s="4" t="s">
        <v>33</v>
      </c>
      <c r="B44" s="1">
        <v>0.46899999999999997</v>
      </c>
      <c r="C44" t="s">
        <v>34</v>
      </c>
    </row>
    <row r="45" spans="1:4" x14ac:dyDescent="0.35">
      <c r="B45" s="1">
        <v>2.9000000000000001E-2</v>
      </c>
      <c r="C45" t="s">
        <v>35</v>
      </c>
    </row>
    <row r="46" spans="1:4" x14ac:dyDescent="0.35">
      <c r="B46" s="1">
        <v>3.9E-2</v>
      </c>
      <c r="C46" t="s">
        <v>36</v>
      </c>
    </row>
    <row r="47" spans="1:4" x14ac:dyDescent="0.35">
      <c r="B47" s="1">
        <v>1.2999999999999999E-2</v>
      </c>
      <c r="C47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Aggregated W2E Tool</vt:lpstr>
      <vt:lpstr>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Caitlin Morris</cp:lastModifiedBy>
  <dcterms:created xsi:type="dcterms:W3CDTF">2019-09-30T02:22:51Z</dcterms:created>
  <dcterms:modified xsi:type="dcterms:W3CDTF">2021-12-08T22:31:43Z</dcterms:modified>
</cp:coreProperties>
</file>